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0.xml" ContentType="application/vnd.openxmlformats-officedocument.drawing+xml"/>
  <Override PartName="/xl/tables/table1.xml" ContentType="application/vnd.openxmlformats-officedocument.spreadsheetml.table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_Website\Bunpod_Eport_New\assets\tmp\08CreativeWorks\"/>
    </mc:Choice>
  </mc:AlternateContent>
  <xr:revisionPtr revIDLastSave="0" documentId="13_ncr:1_{5930A51F-F157-45B2-A4A7-33F13A6C3B20}" xr6:coauthVersionLast="47" xr6:coauthVersionMax="47" xr10:uidLastSave="{00000000-0000-0000-0000-000000000000}"/>
  <bookViews>
    <workbookView showSheetTabs="0" xWindow="-110" yWindow="-110" windowWidth="19420" windowHeight="10300" tabRatio="833" activeTab="1" xr2:uid="{00000000-000D-0000-FFFF-FFFF00000000}"/>
  </bookViews>
  <sheets>
    <sheet name="Menu" sheetId="9" r:id="rId1"/>
    <sheet name="DataSet" sheetId="2" r:id="rId2"/>
    <sheet name="PO1" sheetId="3" r:id="rId3"/>
    <sheet name="PO2" sheetId="5" r:id="rId4"/>
    <sheet name="PO3" sheetId="10" r:id="rId5"/>
    <sheet name="PO4" sheetId="6" r:id="rId6"/>
    <sheet name="PO5" sheetId="11" r:id="rId7"/>
    <sheet name="4-งานตามภารกิจของคณะ" sheetId="7" r:id="rId8"/>
    <sheet name="5-พฤติกรรมการปฏิบัติงาน" sheetId="8" r:id="rId9"/>
    <sheet name="6-Report" sheetId="1" r:id="rId10"/>
  </sheets>
  <externalReferences>
    <externalReference r:id="rId11"/>
  </externalReferences>
  <definedNames>
    <definedName name="_xlnm.Print_Area" localSheetId="7">'4-งานตามภารกิจของคณะ'!$B$1:$N$26</definedName>
    <definedName name="_xlnm.Print_Area" localSheetId="8">'5-พฤติกรรมการปฏิบัติงาน'!$B$1:$P$62</definedName>
    <definedName name="_xlnm.Print_Area" localSheetId="9">'6-Report'!$A$1:$M$48</definedName>
    <definedName name="_xlnm.Print_Area" localSheetId="1">DataSet!$B$1:$M$11</definedName>
    <definedName name="_xlnm.Print_Area" localSheetId="2">'PO1'!$B$1:$N$14</definedName>
    <definedName name="_xlnm.Print_Area" localSheetId="3">'PO2'!$B$1:$M$50</definedName>
    <definedName name="_xlnm.Print_Area" localSheetId="4">'PO3'!$B$1:$N$16</definedName>
    <definedName name="_xlnm.Print_Area" localSheetId="5">'PO4'!$B$1:$N$44</definedName>
    <definedName name="_xlnm.Print_Area" localSheetId="6">'PO5'!$B$1:$N$11</definedName>
    <definedName name="รอบการประเมิน">'6-Report'!$E$62:$L$65</definedName>
  </definedNames>
  <calcPr calcId="191029"/>
  <pivotCaches>
    <pivotCache cacheId="4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7" i="8" l="1"/>
  <c r="H17" i="1"/>
  <c r="H16" i="1"/>
  <c r="H14" i="1"/>
  <c r="H13" i="1"/>
  <c r="H12" i="1"/>
  <c r="H11" i="1"/>
  <c r="M9" i="1"/>
  <c r="J9" i="1"/>
  <c r="H9" i="1"/>
  <c r="B11" i="11"/>
  <c r="B10" i="11"/>
  <c r="N11" i="11"/>
  <c r="N10" i="11"/>
  <c r="J1" i="11"/>
  <c r="L7" i="11" l="1"/>
  <c r="H15" i="1" s="1"/>
  <c r="J57" i="6"/>
  <c r="J56" i="6"/>
  <c r="J55" i="6"/>
  <c r="J54" i="6"/>
  <c r="J53" i="6"/>
  <c r="J52" i="6"/>
  <c r="J51" i="6"/>
  <c r="J50" i="6"/>
  <c r="J49" i="6"/>
  <c r="J48" i="6"/>
  <c r="J44" i="6"/>
  <c r="J43" i="6"/>
  <c r="J42" i="6"/>
  <c r="J41" i="6"/>
  <c r="J40" i="6"/>
  <c r="J39" i="6"/>
  <c r="J38" i="6"/>
  <c r="J37" i="6"/>
  <c r="J36" i="6"/>
  <c r="J35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12" i="6"/>
  <c r="L57" i="6"/>
  <c r="L56" i="6"/>
  <c r="L55" i="6"/>
  <c r="L54" i="6"/>
  <c r="L53" i="6"/>
  <c r="L52" i="6"/>
  <c r="L51" i="6"/>
  <c r="L50" i="6"/>
  <c r="L49" i="6"/>
  <c r="L48" i="6"/>
  <c r="L44" i="6"/>
  <c r="L43" i="6"/>
  <c r="L42" i="6"/>
  <c r="L41" i="6"/>
  <c r="L40" i="6"/>
  <c r="L39" i="6"/>
  <c r="L38" i="6"/>
  <c r="L37" i="6"/>
  <c r="L36" i="6"/>
  <c r="L35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N49" i="6"/>
  <c r="N50" i="6"/>
  <c r="N51" i="6"/>
  <c r="N52" i="6"/>
  <c r="N53" i="6"/>
  <c r="N54" i="6"/>
  <c r="N55" i="6"/>
  <c r="N56" i="6"/>
  <c r="N57" i="6"/>
  <c r="N48" i="6"/>
  <c r="B49" i="6"/>
  <c r="B50" i="6"/>
  <c r="B51" i="6"/>
  <c r="B52" i="6"/>
  <c r="B53" i="6"/>
  <c r="B54" i="6"/>
  <c r="B55" i="6"/>
  <c r="B56" i="6"/>
  <c r="B57" i="6"/>
  <c r="B48" i="6"/>
  <c r="N36" i="6"/>
  <c r="N37" i="6"/>
  <c r="N38" i="6"/>
  <c r="N39" i="6"/>
  <c r="N40" i="6"/>
  <c r="N41" i="6"/>
  <c r="N42" i="6"/>
  <c r="N43" i="6"/>
  <c r="N44" i="6"/>
  <c r="N35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12" i="6"/>
  <c r="B36" i="6"/>
  <c r="B37" i="6"/>
  <c r="B38" i="6"/>
  <c r="B39" i="6"/>
  <c r="B40" i="6"/>
  <c r="B41" i="6"/>
  <c r="B42" i="6"/>
  <c r="B43" i="6"/>
  <c r="B44" i="6"/>
  <c r="B35" i="6"/>
  <c r="B11" i="10"/>
  <c r="N11" i="10"/>
  <c r="L9" i="10" s="1"/>
  <c r="N16" i="10"/>
  <c r="B16" i="10"/>
  <c r="N15" i="10"/>
  <c r="B15" i="10"/>
  <c r="J1" i="10"/>
  <c r="B36" i="3"/>
  <c r="B37" i="3"/>
  <c r="B38" i="3"/>
  <c r="B39" i="3"/>
  <c r="B35" i="3"/>
  <c r="B28" i="3"/>
  <c r="B29" i="3"/>
  <c r="B30" i="3"/>
  <c r="B31" i="3"/>
  <c r="B20" i="3"/>
  <c r="B21" i="3"/>
  <c r="B22" i="3"/>
  <c r="B23" i="3"/>
  <c r="B27" i="3"/>
  <c r="B19" i="3"/>
  <c r="L7" i="3"/>
  <c r="N39" i="3"/>
  <c r="N38" i="3"/>
  <c r="N37" i="3"/>
  <c r="N36" i="3"/>
  <c r="N35" i="3"/>
  <c r="N31" i="3"/>
  <c r="N30" i="3"/>
  <c r="N29" i="3"/>
  <c r="N28" i="3"/>
  <c r="N27" i="3"/>
  <c r="N23" i="3"/>
  <c r="N22" i="3"/>
  <c r="N21" i="3"/>
  <c r="N20" i="3"/>
  <c r="N19" i="3"/>
  <c r="L63" i="8"/>
  <c r="P63" i="8"/>
  <c r="L64" i="8"/>
  <c r="P64" i="8"/>
  <c r="L65" i="8"/>
  <c r="P65" i="8"/>
  <c r="L61" i="8"/>
  <c r="L60" i="8"/>
  <c r="L15" i="8"/>
  <c r="L16" i="8"/>
  <c r="N9" i="3"/>
  <c r="N10" i="3"/>
  <c r="N11" i="3"/>
  <c r="N12" i="3"/>
  <c r="N13" i="3"/>
  <c r="N14" i="3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14" i="6"/>
  <c r="N15" i="6"/>
  <c r="N16" i="6"/>
  <c r="N17" i="6"/>
  <c r="N13" i="6"/>
  <c r="L17" i="8"/>
  <c r="L14" i="8"/>
  <c r="L13" i="8"/>
  <c r="L12" i="8"/>
  <c r="L11" i="8"/>
  <c r="L10" i="8"/>
  <c r="L25" i="8"/>
  <c r="L24" i="8"/>
  <c r="L23" i="8"/>
  <c r="L22" i="8"/>
  <c r="L21" i="8"/>
  <c r="K18" i="8" s="1"/>
  <c r="L33" i="8"/>
  <c r="L32" i="8"/>
  <c r="L31" i="8"/>
  <c r="L30" i="8"/>
  <c r="L29" i="8"/>
  <c r="L40" i="8"/>
  <c r="L39" i="8"/>
  <c r="L38" i="8"/>
  <c r="L37" i="8"/>
  <c r="L48" i="8"/>
  <c r="L47" i="8"/>
  <c r="L46" i="8"/>
  <c r="L45" i="8"/>
  <c r="L44" i="8"/>
  <c r="L53" i="8"/>
  <c r="L54" i="8"/>
  <c r="L55" i="8"/>
  <c r="L56" i="8"/>
  <c r="L52" i="8"/>
  <c r="H5" i="1"/>
  <c r="N12" i="6"/>
  <c r="J10" i="1" l="1"/>
  <c r="M10" i="1" s="1"/>
  <c r="J18" i="1"/>
  <c r="K49" i="8"/>
  <c r="K26" i="8"/>
  <c r="K41" i="8"/>
  <c r="M26" i="1" s="1"/>
  <c r="K34" i="8"/>
  <c r="L46" i="6"/>
  <c r="L13" i="10"/>
  <c r="L7" i="10" s="1"/>
  <c r="L33" i="3"/>
  <c r="L17" i="3"/>
  <c r="L25" i="3"/>
  <c r="K7" i="8"/>
  <c r="L16" i="3" l="1"/>
  <c r="M20" i="5"/>
  <c r="M21" i="5"/>
  <c r="M22" i="5"/>
  <c r="M23" i="5"/>
  <c r="M24" i="5"/>
  <c r="M25" i="5"/>
  <c r="M26" i="5"/>
  <c r="M19" i="5"/>
  <c r="P38" i="8"/>
  <c r="P39" i="8"/>
  <c r="P40" i="8"/>
  <c r="P45" i="8"/>
  <c r="P46" i="8"/>
  <c r="P47" i="8"/>
  <c r="P54" i="8"/>
  <c r="P55" i="8"/>
  <c r="L49" i="1"/>
  <c r="L50" i="1"/>
  <c r="L51" i="1"/>
  <c r="L53" i="1"/>
  <c r="L52" i="1"/>
  <c r="M35" i="5"/>
  <c r="M36" i="5"/>
  <c r="M37" i="5"/>
  <c r="M38" i="5"/>
  <c r="B36" i="5"/>
  <c r="B37" i="5"/>
  <c r="B38" i="5"/>
  <c r="B20" i="7"/>
  <c r="B21" i="7"/>
  <c r="B22" i="7"/>
  <c r="B23" i="7"/>
  <c r="B24" i="7"/>
  <c r="B25" i="7"/>
  <c r="B26" i="7"/>
  <c r="B19" i="7"/>
  <c r="B9" i="7"/>
  <c r="B10" i="7"/>
  <c r="B11" i="7"/>
  <c r="B12" i="7"/>
  <c r="B13" i="7"/>
  <c r="B14" i="7"/>
  <c r="B15" i="7"/>
  <c r="B8" i="7"/>
  <c r="B10" i="3"/>
  <c r="B11" i="3"/>
  <c r="B12" i="3"/>
  <c r="B13" i="3"/>
  <c r="B14" i="3"/>
  <c r="B9" i="3"/>
  <c r="B31" i="5"/>
  <c r="B32" i="5"/>
  <c r="B33" i="5"/>
  <c r="B34" i="5"/>
  <c r="B35" i="5"/>
  <c r="B39" i="5"/>
  <c r="B30" i="5"/>
  <c r="B44" i="5"/>
  <c r="B45" i="5"/>
  <c r="B46" i="5"/>
  <c r="B47" i="5"/>
  <c r="B48" i="5"/>
  <c r="B49" i="5"/>
  <c r="B50" i="5"/>
  <c r="B43" i="5"/>
  <c r="B20" i="5"/>
  <c r="B21" i="5"/>
  <c r="B22" i="5"/>
  <c r="B23" i="5"/>
  <c r="B24" i="5"/>
  <c r="B25" i="5"/>
  <c r="B26" i="5"/>
  <c r="B19" i="5"/>
  <c r="B12" i="5"/>
  <c r="B13" i="5"/>
  <c r="B14" i="5"/>
  <c r="B15" i="5"/>
  <c r="B11" i="5"/>
  <c r="L29" i="1"/>
  <c r="P23" i="8"/>
  <c r="J62" i="1"/>
  <c r="G62" i="1"/>
  <c r="G64" i="1" s="1"/>
  <c r="J64" i="1" l="1"/>
  <c r="H10" i="1" l="1"/>
  <c r="M12" i="5"/>
  <c r="M13" i="5"/>
  <c r="M14" i="5"/>
  <c r="M15" i="5"/>
  <c r="M11" i="5"/>
  <c r="M51" i="1" l="1"/>
  <c r="G3" i="1"/>
  <c r="E3" i="1"/>
  <c r="J63" i="1"/>
  <c r="D63" i="1"/>
  <c r="L63" i="1" s="1"/>
  <c r="D64" i="1"/>
  <c r="K64" i="1" s="1"/>
  <c r="D65" i="1"/>
  <c r="K65" i="1" s="1"/>
  <c r="K3" i="1" s="1"/>
  <c r="D62" i="1"/>
  <c r="L62" i="1" s="1"/>
  <c r="L64" i="1" l="1"/>
  <c r="L65" i="1"/>
  <c r="K63" i="1"/>
  <c r="K62" i="1"/>
  <c r="G65" i="1"/>
  <c r="F3" i="1" s="1"/>
  <c r="J65" i="1"/>
  <c r="I3" i="1" s="1"/>
  <c r="G63" i="1"/>
  <c r="U61" i="8"/>
  <c r="P61" i="8" s="1"/>
  <c r="U62" i="8"/>
  <c r="P62" i="8" s="1"/>
  <c r="W61" i="8"/>
  <c r="W60" i="8"/>
  <c r="W62" i="8"/>
  <c r="V60" i="8"/>
  <c r="V61" i="8"/>
  <c r="V62" i="8"/>
  <c r="D3" i="1" l="1"/>
  <c r="U60" i="8"/>
  <c r="P60" i="8" s="1"/>
  <c r="O57" i="8" s="1"/>
  <c r="K4" i="1" l="1"/>
  <c r="M22" i="1" l="1"/>
  <c r="M25" i="1"/>
  <c r="M23" i="1"/>
  <c r="M24" i="1"/>
  <c r="W56" i="8"/>
  <c r="V56" i="8"/>
  <c r="U56" i="8"/>
  <c r="W53" i="8"/>
  <c r="V53" i="8"/>
  <c r="U53" i="8"/>
  <c r="W52" i="8"/>
  <c r="V52" i="8"/>
  <c r="U52" i="8"/>
  <c r="P52" i="8" s="1"/>
  <c r="W48" i="8"/>
  <c r="V48" i="8"/>
  <c r="U48" i="8"/>
  <c r="P48" i="8" s="1"/>
  <c r="W44" i="8"/>
  <c r="V44" i="8"/>
  <c r="U44" i="8"/>
  <c r="P44" i="8" s="1"/>
  <c r="W37" i="8"/>
  <c r="V37" i="8"/>
  <c r="U37" i="8"/>
  <c r="P37" i="8" s="1"/>
  <c r="W33" i="8"/>
  <c r="V33" i="8"/>
  <c r="U33" i="8"/>
  <c r="P33" i="8" s="1"/>
  <c r="W32" i="8"/>
  <c r="V32" i="8"/>
  <c r="U32" i="8"/>
  <c r="P32" i="8" s="1"/>
  <c r="W31" i="8"/>
  <c r="V31" i="8"/>
  <c r="U31" i="8"/>
  <c r="P31" i="8" s="1"/>
  <c r="W30" i="8"/>
  <c r="V30" i="8"/>
  <c r="U30" i="8"/>
  <c r="P30" i="8" s="1"/>
  <c r="W29" i="8"/>
  <c r="V29" i="8"/>
  <c r="U29" i="8"/>
  <c r="P29" i="8" s="1"/>
  <c r="W25" i="8"/>
  <c r="V25" i="8"/>
  <c r="U25" i="8"/>
  <c r="P25" i="8" s="1"/>
  <c r="W24" i="8"/>
  <c r="V24" i="8"/>
  <c r="U24" i="8"/>
  <c r="P24" i="8" s="1"/>
  <c r="W22" i="8"/>
  <c r="V22" i="8"/>
  <c r="U22" i="8"/>
  <c r="P22" i="8" s="1"/>
  <c r="W21" i="8"/>
  <c r="V21" i="8"/>
  <c r="U21" i="8"/>
  <c r="P21" i="8" s="1"/>
  <c r="W10" i="8"/>
  <c r="V10" i="8"/>
  <c r="U10" i="8"/>
  <c r="W17" i="8"/>
  <c r="V17" i="8"/>
  <c r="U17" i="8"/>
  <c r="P17" i="8" s="1"/>
  <c r="W14" i="8"/>
  <c r="V14" i="8"/>
  <c r="U14" i="8"/>
  <c r="P14" i="8" s="1"/>
  <c r="W13" i="8"/>
  <c r="V13" i="8"/>
  <c r="U13" i="8"/>
  <c r="W12" i="8"/>
  <c r="V12" i="8"/>
  <c r="U12" i="8"/>
  <c r="P12" i="8" s="1"/>
  <c r="W11" i="8"/>
  <c r="V11" i="8"/>
  <c r="U11" i="8"/>
  <c r="O41" i="8" l="1"/>
  <c r="O34" i="8"/>
  <c r="O18" i="8"/>
  <c r="O26" i="8"/>
  <c r="P13" i="8"/>
  <c r="P11" i="8"/>
  <c r="N8" i="7"/>
  <c r="I1" i="8"/>
  <c r="P53" i="8" l="1"/>
  <c r="P56" i="8"/>
  <c r="M49" i="1"/>
  <c r="M50" i="5"/>
  <c r="M49" i="5"/>
  <c r="M48" i="5"/>
  <c r="M47" i="5"/>
  <c r="M46" i="5"/>
  <c r="M45" i="5"/>
  <c r="M44" i="5"/>
  <c r="M43" i="5"/>
  <c r="M39" i="5"/>
  <c r="M34" i="5"/>
  <c r="M33" i="5"/>
  <c r="M32" i="5"/>
  <c r="M31" i="5"/>
  <c r="M30" i="5"/>
  <c r="O49" i="8" l="1"/>
  <c r="D47" i="1"/>
  <c r="N26" i="7"/>
  <c r="N25" i="7"/>
  <c r="N24" i="7"/>
  <c r="N23" i="7"/>
  <c r="N22" i="7"/>
  <c r="N21" i="7"/>
  <c r="N20" i="7"/>
  <c r="N19" i="7"/>
  <c r="M53" i="1" l="1"/>
  <c r="K6" i="8"/>
  <c r="M27" i="1"/>
  <c r="M29" i="1" s="1"/>
  <c r="G34" i="1" s="1"/>
  <c r="H39" i="2" l="1"/>
  <c r="H38" i="2"/>
  <c r="H37" i="2"/>
  <c r="H36" i="2"/>
  <c r="N15" i="7" l="1"/>
  <c r="N14" i="7"/>
  <c r="N13" i="7"/>
  <c r="N12" i="7"/>
  <c r="N11" i="7"/>
  <c r="N10" i="7"/>
  <c r="N9" i="7"/>
  <c r="M50" i="1" l="1"/>
  <c r="M52" i="1"/>
  <c r="L10" i="6"/>
  <c r="L33" i="6"/>
  <c r="L26" i="7"/>
  <c r="L25" i="7"/>
  <c r="L24" i="7"/>
  <c r="L23" i="7"/>
  <c r="L22" i="7"/>
  <c r="L21" i="7"/>
  <c r="L20" i="7"/>
  <c r="L19" i="7"/>
  <c r="J26" i="7"/>
  <c r="J25" i="7"/>
  <c r="J24" i="7"/>
  <c r="J23" i="7"/>
  <c r="J22" i="7"/>
  <c r="J21" i="7"/>
  <c r="J20" i="7"/>
  <c r="J19" i="7"/>
  <c r="L8" i="7"/>
  <c r="L14" i="7"/>
  <c r="L13" i="7"/>
  <c r="L12" i="7"/>
  <c r="L11" i="7"/>
  <c r="L10" i="7"/>
  <c r="L9" i="7"/>
  <c r="L15" i="7"/>
  <c r="J15" i="7"/>
  <c r="J14" i="7"/>
  <c r="J13" i="7"/>
  <c r="J12" i="7"/>
  <c r="J11" i="7"/>
  <c r="J10" i="7"/>
  <c r="J9" i="7"/>
  <c r="J8" i="7"/>
  <c r="J1" i="7"/>
  <c r="L7" i="6" l="1"/>
  <c r="L17" i="7"/>
  <c r="T25" i="1" s="1"/>
  <c r="L6" i="7"/>
  <c r="T24" i="1" l="1"/>
  <c r="T23" i="1"/>
  <c r="J1" i="6"/>
  <c r="K28" i="5" l="1"/>
  <c r="K41" i="5" l="1"/>
  <c r="K17" i="5"/>
  <c r="J1" i="5"/>
  <c r="K1" i="3"/>
  <c r="K1" i="1"/>
  <c r="K9" i="5" l="1"/>
  <c r="K7" i="5" s="1"/>
  <c r="D5" i="1"/>
  <c r="H4" i="1"/>
  <c r="D4" i="1"/>
  <c r="J47" i="1"/>
  <c r="D43" i="1"/>
  <c r="H18" i="1" l="1"/>
  <c r="T21" i="1"/>
  <c r="P10" i="8"/>
  <c r="O7" i="8" l="1"/>
  <c r="O6" i="8" s="1"/>
  <c r="T22" i="1"/>
  <c r="G33" i="1"/>
  <c r="M8" i="1"/>
  <c r="H33" i="1" l="1"/>
  <c r="J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ชุนชวนคลิก</author>
  </authors>
  <commentList>
    <comment ref="M9" authorId="0" shapeId="0" xr:uid="{19977F3D-961B-4101-8F7E-A10B043C6DA5}">
      <text>
        <r>
          <rPr>
            <b/>
            <sz val="14"/>
            <color indexed="10"/>
            <rFont val="TH SarabunPSK"/>
            <family val="2"/>
          </rPr>
          <t>ปรับปมสด2  ตามมติการประชุม 12 ม.ค.2569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ชุนชวนคลิก</author>
  </authors>
  <commentList>
    <comment ref="M8" authorId="0" shapeId="0" xr:uid="{60777438-1DCD-4A84-9B62-2A19B0CA9EC0}">
      <text>
        <r>
          <rPr>
            <b/>
            <sz val="14"/>
            <color indexed="10"/>
            <rFont val="TH SarabunPSK"/>
            <family val="2"/>
          </rPr>
          <t>เลือกลักษณะวิชา
- วิชาปกติของหลักสูตร
- วิชาเก็บตกให้กับ นศ.</t>
        </r>
      </text>
    </comment>
    <comment ref="J9" authorId="0" shapeId="0" xr:uid="{154822DF-9A12-493A-8D0C-5CCA1E20F5A4}">
      <text>
        <r>
          <rPr>
            <b/>
            <sz val="16"/>
            <color indexed="12"/>
            <rFont val="TH Sarabun New"/>
            <family val="2"/>
          </rPr>
          <t>ตามเกณฑ์ (ใหม่) ผลสัมฤทธิ์ของงาน 70% / พฤติกรรมการปฏิบัติงาน 30%</t>
        </r>
        <r>
          <rPr>
            <b/>
            <sz val="16"/>
            <color indexed="10"/>
            <rFont val="TH Sarabun New"/>
            <family val="2"/>
          </rPr>
          <t xml:space="preserve">
ภาระงานสอน | เกณฑ์ปกติ 36 ภาระงาน (12 หน่วยกิต)
</t>
        </r>
        <r>
          <rPr>
            <sz val="16"/>
            <color indexed="10"/>
            <rFont val="TH Sarabun New"/>
            <family val="2"/>
          </rPr>
          <t xml:space="preserve">- ภาระงานสอน </t>
        </r>
        <r>
          <rPr>
            <b/>
            <sz val="16"/>
            <color indexed="10"/>
            <rFont val="TH Sarabun New"/>
            <family val="2"/>
          </rPr>
          <t>คิดเป็น 25.2% ของผลสัมฤทธิ์ของงาน</t>
        </r>
        <r>
          <rPr>
            <sz val="16"/>
            <color indexed="10"/>
            <rFont val="TH Sarabun New"/>
            <family val="2"/>
          </rPr>
          <t xml:space="preserve">
- ภาระงาน</t>
        </r>
        <r>
          <rPr>
            <b/>
            <sz val="16"/>
            <color indexed="10"/>
            <rFont val="TH Sarabun New"/>
            <family val="2"/>
          </rPr>
          <t>สอนเกิน 36</t>
        </r>
        <r>
          <rPr>
            <sz val="16"/>
            <color indexed="10"/>
            <rFont val="TH Sarabun New"/>
            <family val="2"/>
          </rPr>
          <t xml:space="preserve"> ภาระงาน </t>
        </r>
        <r>
          <rPr>
            <b/>
            <sz val="16"/>
            <color indexed="10"/>
            <rFont val="TH Sarabun New"/>
            <family val="2"/>
          </rPr>
          <t>นำส่วนเกินไปนับรวมผลสัมฤทธิ์ของงานด้านอื่นๆ ได้</t>
        </r>
        <r>
          <rPr>
            <sz val="16"/>
            <color indexed="10"/>
            <rFont val="TH Sarabun New"/>
            <family val="2"/>
          </rPr>
          <t xml:space="preserve">
- ภาระงาน</t>
        </r>
        <r>
          <rPr>
            <b/>
            <sz val="16"/>
            <color indexed="10"/>
            <rFont val="TH Sarabun New"/>
            <family val="2"/>
          </rPr>
          <t>สอนไม่ครบ 36</t>
        </r>
        <r>
          <rPr>
            <sz val="16"/>
            <color indexed="10"/>
            <rFont val="TH Sarabun New"/>
            <family val="2"/>
          </rPr>
          <t xml:space="preserve"> ภาระงาน </t>
        </r>
        <r>
          <rPr>
            <b/>
            <sz val="16"/>
            <color indexed="10"/>
            <rFont val="TH Sarabun New"/>
            <family val="2"/>
          </rPr>
          <t>ไม่นำผลสัมฤทธิ์ของงานด้านอื่นๆ มารวมด้วย</t>
        </r>
      </text>
    </comment>
    <comment ref="H19" authorId="0" shapeId="0" xr:uid="{A50EE108-C9A2-4471-A7A2-74C0DFB66F95}">
      <text>
        <r>
          <rPr>
            <sz val="16"/>
            <color indexed="10"/>
            <rFont val="TH Sarabun New"/>
            <family val="2"/>
          </rPr>
          <t>คุณภาพ ดังนี้
1. เอกสารประกอบการเรียนต้องตรงกับวิชาที่ผู้รับการประเมินสอนในเทอมนั้น ตามที่ระบุไว้ในตารางสอน
2. มีระบบการอ้างอิงเอกสารที่ถูกต้องสมบูรณ์
3. จัดทำเป็นรูปเล่มที่สมบูรณ์ตามรูปแบบที่มหาวิทยาลัยกำหนดและผ่านการตีพิมพ์จากกราฟิกไซท์
4. คำนวณภาระงานตามสัดส่วนที่รับผิดชอบ
5. ปรับปรุงอย่างต่อเนื่อง (ทุกปีการศึกษา)
หมายเหตุ 
1.สำหรับผู้สอนในหมวดวิชาศึกษาทั่วไปที่ไม่ได้เป็นผู้ร่วมเขียนเอกสารประกอบการเรียนฉบับหลักของมหาวิทยาลัยไม่สามารถนำผลงานมาประเมินส่วนนี้ได้
2. สำหรับผู้สอนในหมวดวิชาศึกษาทั่วไปถ้ามีส่วนร่วมในการเขียน 1 บท ขึ้นไป ให้คิดเป็น 2 ภาระงาน
3. ถ้าผู้เขียนเอกสารประกอบการเรียน ไม่ได้สอนในภาคเรียนนั้น ๆ จะไม่สามารถนำมาประเมินได้</t>
        </r>
      </text>
    </comment>
    <comment ref="H27" authorId="0" shapeId="0" xr:uid="{728DC707-737B-4C82-96E5-1C1029A2FF2D}">
      <text>
        <r>
          <rPr>
            <sz val="16"/>
            <color indexed="10"/>
            <rFont val="TH Sarabun New"/>
            <family val="2"/>
          </rPr>
          <t xml:space="preserve">คุณภาพ ดังนี้
1. เอกสารประกอบการสอนต้องตรงกับวิชาที่ผู้รับการประเมินสอนในเทอมนั้น ตามที่ระบุไว้ในตารางสอน
2. แผนบริหารการสอน 15 สัปดาห์มีความถูกต้อง เนื้อหามีความถูกต้องสมบูรณ์และทันสมัย สอดคล้องกับวัตถุประสงค์ของรายวิชา
3. มีระบบการอ้างอิงเอกสารที่ถูกต้องสมบูรณ์
4. จัดทำเป็นรูปเล่มที่สมบูรณ์ตามรูปแบบที่มหาวิทยาลัยกำหนด
5. ปรับปรุงอย่างต่อเนื่อง (ทุกปีการศึกษา)
หมายเหตุ
1. ในกรณีที่เป็นอาจารย์ผู้สอนร่วม ที่ไม่ได้รับผิดชอบการสอนทั้ง 15 สัปดาห์ สามารถเขียนเอกสารประกอบการสอนเฉพาะสัปดาห์ที่ตนเองสอนได้ 
2. การคิดภาระงาน ให้นำสัดส่วนความรับผิดชอบไปคูณภาระงาน โดยเทียบตามร้อยละ เช่น 
เอกสารประกอบการสอนมี 15 สัปดาห์ สัดส่วนความรับผิดชอบ 2 สัปดาห์ วิธีคิด = (2x6)/15 = 0.8 ภาระงานต่อสัปดาห์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บรรพต พิจิตรกำเนิด</author>
  </authors>
  <commentList>
    <comment ref="F29" authorId="0" shapeId="0" xr:uid="{00000000-0006-0000-0300-000001000000}">
      <text>
        <r>
          <rPr>
            <sz val="16"/>
            <color indexed="10"/>
            <rFont val="TH SarabunPSK"/>
            <family val="2"/>
          </rPr>
          <t>จำนวนผู้เขียน
บทความทั้งหมด</t>
        </r>
      </text>
    </comment>
    <comment ref="F42" authorId="0" shapeId="0" xr:uid="{00000000-0006-0000-0300-000002000000}">
      <text>
        <r>
          <rPr>
            <sz val="16"/>
            <color indexed="10"/>
            <rFont val="TH SarabunPSK"/>
            <family val="2"/>
          </rPr>
          <t>จำนวนผู้เขียน
บทความทั้งหมด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ชุนชวนคลิก</author>
  </authors>
  <commentList>
    <comment ref="I11" authorId="0" shapeId="0" xr:uid="{C893662A-4B41-411E-854A-38DD693E1DC1}">
      <text>
        <r>
          <rPr>
            <sz val="16"/>
            <color indexed="10"/>
            <rFont val="TH Sarabun New"/>
            <family val="2"/>
          </rPr>
          <t xml:space="preserve">1. อาจารย์ที่ปรึกษา 12 ภาระงาน/สัปดาห์ (แนบเอกสารการติดตามการสอบหรือการเตรียมการเพื่อสอบ TOEIC ของนักศึกษา)
2. กรณี อาจารย์ที่ปรึกษาเป็น ประธานหลักสูตรหรือ เป็น กรรมการบริหารหลักสูตร ให้เลือกภาระงาน เพียงข้อเดียวมาใช้ในการประเมิน ไม่สามารถนำมานับซ้ำได้
3. กรณีที่ปฏิบัติหน้าที่ในหลักสูตรปริญญาระดับเดียวกัน สามารถนำงานที่ปฏิบัติมาประเมินผลการปฏิบัติงานได้เพียงตำแหน่งเดียว โดยใช้ภาระงานที่สูงที่สุดมาประเมิน
4. กรณีที่ปฏิบัติงานในหลักสูตรปริญญาคนละระดับกัน เช่น ป.ตรี และ ป.โท สามารถนำงานที่ปฏิบัติมาประเมินผลการปฏิบัติงานได้หลักสูตรละ 1 ตำแหน่ง โดยใช้ภาระงานที่สูงที่สุดของแต่ละหลักสูตรมาประเมิน
</t>
        </r>
        <r>
          <rPr>
            <b/>
            <sz val="16"/>
            <color indexed="10"/>
            <rFont val="TH Sarabun New"/>
            <family val="2"/>
          </rPr>
          <t>หลักฐาน</t>
        </r>
        <r>
          <rPr>
            <sz val="16"/>
            <color indexed="10"/>
            <rFont val="TH Sarabun New"/>
            <family val="2"/>
          </rPr>
          <t xml:space="preserve">
1. คำสั่งแต่งตั้งอาจารย์ที่ปรึกษา
2. หลักฐานการดูแลนักศึกษาเพื่อประกอบการพิจารณาด้วย เช่น รายงานผลการติดตามดูแลนักศึกษา</t>
        </r>
      </text>
    </comment>
    <comment ref="I15" authorId="0" shapeId="0" xr:uid="{FEF56AFF-1010-4663-B71A-940CF440BF27}">
      <text>
        <r>
          <rPr>
            <sz val="16"/>
            <color indexed="10"/>
            <rFont val="TH Sarabun New"/>
            <family val="2"/>
          </rPr>
          <t>1. กรณีเป็นผู้รับผิดชอบรายวิชา ให้คิดภาระงาน 4 ภาระงาน/สัปดาห์
2. กรณีเป็นอาจารย์ผู้ดูแลนักศึกษา ให้คิดภาระงาน 5 คน ต่อ 1 ภาระงาน/สัปดาห์
3. กรณีเป็นผู้รับผิดชอบรายวิชาและเป็นอาจารย์ผู้ดูแลนักศึกษาด้วย ให้นับภาระงานทั้ง 
2 ประเภทรวมกันได้
หลักฐาน 
1. คำสั่งแต่งตั้งเป็นกรรมการดูแลการฝึกประสบการณ์วิชาชีพ
2. รายชื่อนักศึกษา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ชุนชวนคลิก</author>
  </authors>
  <commentList>
    <comment ref="I11" authorId="0" shapeId="0" xr:uid="{90C20304-398E-4C8F-9DF3-CBA5C2445C4A}">
      <text>
        <r>
          <rPr>
            <b/>
            <sz val="16"/>
            <color indexed="10"/>
            <rFont val="TH Sarabun New"/>
            <family val="2"/>
          </rPr>
          <t>1. การเป็นผู้สอนในการจัดการศึกษาโครงการพิเศษที่มหาวิทยาลัยหรือคณะหรือกลุ่มบุคคลที่สภามหาวิทยาลัยอนุมัติให้ดำเนินการได้</t>
        </r>
        <r>
          <rPr>
            <sz val="16"/>
            <color indexed="10"/>
            <rFont val="TH Sarabun New"/>
            <family val="2"/>
          </rPr>
          <t xml:space="preserve">
1.1 การจัดการศึกษาโครงการพิเศษแบบนับหน่วยกิตค่าน้ำหนัก 1 (การคิดภาระงาน= จำนวนตัวเลขในวงเล็บของหน่วยกิต x ค่าน้ำหนัก)
1.2 การจัดการศึกษาโครงการพิเศษแบบนับชั่วโมง ค่าน้ำหนัก 1 (การคิดภาระงาน = จำนวนชั่วโมงตามจริง x ค่าน้ำหนัก)
1.3 ทั้งนี้ ไม่เกิน 9 ภาระงาน/สัปดาห์
หลักฐาน
 คำสั่งแต่งตั้งอาจารย์ผู้สอนโครงการพิเศษต่าง ๆ เช่น โครงการ รมป., หลักสูตรพัฒนาข้าราชการครูและบุคลากรทางการศึกษาฯ, หลักสูตร Credit bank และ Non degree เป็นต้น
</t>
        </r>
        <r>
          <rPr>
            <b/>
            <sz val="16"/>
            <color indexed="10"/>
            <rFont val="TH Sarabun New"/>
            <family val="2"/>
          </rPr>
          <t>2. การเป็นวิทยากรในการฝึกอบรมสัมมนา หรือการประชุมทางวิชาการให้กับหน่วยงานภายใน/ภายนอกมหาวิทยาลัย</t>
        </r>
        <r>
          <rPr>
            <sz val="16"/>
            <color indexed="10"/>
            <rFont val="TH Sarabun New"/>
            <family val="2"/>
          </rPr>
          <t xml:space="preserve">
2.1 การเป็นวิทยากรโครงการประชุมอบรม สัมมนาต่าง ๆ ภายในมหาวิทยาลัย ค่าน้ำหนัก 0.5 (การคิดภาระงาน = จำนวนชั่วโมงตามจริง x ค่าน้ำหนัก)
2.2 ทั้งนี้ ไม่เกิน 6 ภาระงาน/สัปดาห์
</t>
        </r>
        <r>
          <rPr>
            <b/>
            <sz val="16"/>
            <color indexed="10"/>
            <rFont val="TH Sarabun New"/>
            <family val="2"/>
          </rPr>
          <t>หลักฐาน</t>
        </r>
        <r>
          <rPr>
            <sz val="16"/>
            <color indexed="10"/>
            <rFont val="TH Sarabun New"/>
            <family val="2"/>
          </rPr>
          <t xml:space="preserve">
1. หนังสือเชิญเป็นวิทยากร หรือ
2. บันทึกข้อความของคณะ/มหาวิทยาลัยที่อนุญาตให้ไปปฏิบัติงาน
</t>
        </r>
        <r>
          <rPr>
            <b/>
            <sz val="16"/>
            <color indexed="10"/>
            <rFont val="TH Sarabun New"/>
            <family val="2"/>
          </rPr>
          <t>3. การเป็นวิทยากร/ผู้สอนในการจัดการศึกษาภายใน/ภายนอกมหาวิทยาลัย</t>
        </r>
        <r>
          <rPr>
            <sz val="16"/>
            <color indexed="10"/>
            <rFont val="TH Sarabun New"/>
            <family val="2"/>
          </rPr>
          <t xml:space="preserve">
3.1 การจัดการศึกษาแบบนับชั่วโมง (การคิดภาระงาน = จำนวนชั่วโมงตามจริงคูณค่าน้ำหนัก/15สัปดาห์)
</t>
        </r>
        <r>
          <rPr>
            <b/>
            <sz val="16"/>
            <color indexed="10"/>
            <rFont val="TH Sarabun New"/>
            <family val="2"/>
          </rPr>
          <t>หลักฐาน</t>
        </r>
        <r>
          <rPr>
            <sz val="16"/>
            <color indexed="10"/>
            <rFont val="TH Sarabun New"/>
            <family val="2"/>
          </rPr>
          <t xml:space="preserve">
1. หนังสือเชิญเป็นวิทยากร หรือ
2. บันทึกข้อความของคณะ/มหาวิทยาลัยที่อนุญาตให้ไปปฏิบัติงาน
4. การเข้าร่วมเป็นกรรมการในคณะกรรมการหรืออนุกรรมการของโครงการพิเศษต่างๆ ที่มหาวิทยาลัยเป็นผู้ดำเนินการ/การเข้าร่วมเป็นกรรมการในคณะกรรมการหรืออนุกรรมการที่ได้รับเชิญจากหน่วยงานภายนอก องค์กรวิชาชีพ หรือหน่วยงานของรัฐ
   4.1 โครงการหรือกิจกรรมที่เกิดผลกระทบระดับ ประเทศ/นานาชาติ ค่าน้ำหนัก 3 (การคิดภาระงาน = จำนวนโครงการ x ค่าน้ำหนัก)
    4.2 โครงการหรือกิจกรรมที่เกิดผลกระทบระดับชุมชน/อำเภอ/จังหวัด ค่าน้ำหนัก 2 
(การคิดภาระงาน = จำนวนโครงการ x ค่าน้ำหนัก)
    4.3 โครงการหรือกิจกรรมที่เกิดผลกระทบภายในมหาวิทยาลัย ค่าน้ำหนัก 1(การคิดภาระงาน = จำนวนโครงการ x ค่าน้ำหนัก)
หลักฐาน
1. คำสั่ง/หนังสือเชิญของหน่วยงาน
2. บันทึกข้อความของคณะ/มหาวิทยาลัยที่อนุญาตให้ไปปฏิบัติงาน</t>
        </r>
      </text>
    </comment>
    <comment ref="Q12" authorId="0" shapeId="0" xr:uid="{6E4AB55B-3BD6-433C-9A19-82D4D1924FBE}">
      <text>
        <r>
          <rPr>
            <b/>
            <sz val="16"/>
            <color indexed="10"/>
            <rFont val="TH Sarabun New"/>
            <family val="2"/>
          </rPr>
          <t>ดูตัวเลขในวงเล็บหน่วยกิต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ชุนชวนคลิก</author>
  </authors>
  <commentList>
    <comment ref="I10" authorId="0" shapeId="0" xr:uid="{1A724DA8-5625-40F0-9816-C183158F7B37}">
      <text>
        <r>
          <rPr>
            <sz val="16"/>
            <color indexed="10"/>
            <rFont val="TH Sarabun New"/>
            <family val="2"/>
          </rPr>
          <t>1. ประธานหลักสูตร 26 ภาระงาน/สัปดาห์
2. กรรมการบริหารหลักสูตร 16 ภาระงาน/สัปดาห์
3. อาจารย์ที่ปรึกษา 12 ภาระงาน/สัปดาห์ (แนบเอกสารการติดตามการสอบหรือการเตรียมการเพื่อสอบ TOEIC ของนักศึกษา
4. ให้เลือกภาระงานในข้อที่ 1 – 3 เพียงข้อเดียวมาใช้ในการประเมิน 
5. ผู้ประสานงานรายวิชาศึกษาทั่วไป 12 ภาระงาน
6. กรณีกรรมการบริหารหลักสูตร ให้แนบหลักฐานการทำงานในหน้าที่ดังกล่าวเพื่อประกอบการพิจารณาด้วย
7. กรณีเป็นอาจารย์ที่ปรึกษาให้แนบหลักฐานการดูแลนักศึกษาเพื่อประกอบการพิจารณาด้วย เช่น รายงานผลการติดตามดูแลนักศึกษา
8. กรณีที่ปฏิบัติหน้าที่ในหลักสูตรปริญญาระดับเดียวกัน สามารถนำงานที่ปฏิบัติมาประเมินผลการปฏิบัติงานได้เพียงตำแหน่งเดียว โดยใช้ภาระงานที่สูงที่สุดมาประเมิน
9. กรณีที่ปฏิบัติงานในหลักสูตรปริญญาคนละระดับกัน เช่น ป.ตรี และ ป.โท สามารถนำงานที่ปฏิบัติมาประเมินผลการปฏิบัติงานได้หลักสูตรละ 1 ตำแหน่ง โดยใช้ภาระงานที่สูงที่สุดของแต่ละหลักสูตรมาประเมิน
หลักฐาน 
1. คำสั่ง
2. หลักฐานการทำงานในกรณีที่เป็นกรรมการบริหารหลักสูตร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บรรพต</author>
  </authors>
  <commentList>
    <comment ref="I6" authorId="0" shapeId="0" xr:uid="{672D29A6-E177-4366-B32E-1D930D44B9D9}">
      <text>
        <r>
          <rPr>
            <b/>
            <sz val="16"/>
            <color indexed="10"/>
            <rFont val="TH SarabunPSK"/>
            <family val="2"/>
          </rPr>
          <t>เลือกประเมินตนเอง "อย่างใดอย่างหนึ่งเท่านั้น"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ชุนชวนคลิก</author>
  </authors>
  <commentList>
    <comment ref="R1" authorId="0" shapeId="0" xr:uid="{6BE768DC-728D-41F4-BB7E-C41BE0CA31BF}">
      <text>
        <r>
          <rPr>
            <b/>
            <sz val="14"/>
            <color indexed="12"/>
            <rFont val="TH Sarabun New"/>
            <family val="2"/>
          </rPr>
          <t>ก่อนพิมพ์รายงาน ให้ท่านเลือกเมนู Data 
เลือกคำสั่ง Refresh All
เพื่อทำการอัปเดตข้อมูล</t>
        </r>
      </text>
    </comment>
  </commentList>
</comments>
</file>

<file path=xl/sharedStrings.xml><?xml version="1.0" encoding="utf-8"?>
<sst xmlns="http://schemas.openxmlformats.org/spreadsheetml/2006/main" count="791" uniqueCount="456">
  <si>
    <t>รอบการประเมิน</t>
  </si>
  <si>
    <t>ชื่อผู้รับการประเมิน</t>
  </si>
  <si>
    <t>ข้อมูลพื้นฐานของผู้รับการประเมิน</t>
  </si>
  <si>
    <t>ตำแหน่ง</t>
  </si>
  <si>
    <t>อาจารย์</t>
  </si>
  <si>
    <t>ประธานหลักสูตร</t>
  </si>
  <si>
    <t>ตำแหน่งวิชาการ</t>
  </si>
  <si>
    <t>ตำแหน่งในสาขาวิชา</t>
  </si>
  <si>
    <t>ผู้รับผิดชอบหลักสูตร</t>
  </si>
  <si>
    <t>อาจารย์ประจำหลักสูตร</t>
  </si>
  <si>
    <t>ชื่อประธานหลักสูตร</t>
  </si>
  <si>
    <t>ชื่อคณบดี</t>
  </si>
  <si>
    <t>กิจกรรม / โครงการ / งาน</t>
  </si>
  <si>
    <t>คะแนนเต็ม</t>
  </si>
  <si>
    <t>คะแนนที่ได้</t>
  </si>
  <si>
    <t>รวม</t>
  </si>
  <si>
    <t>คะแนน</t>
  </si>
  <si>
    <t>ป.มสด.3 - สรุปผลการปฏิบัติงาน (100 คะแนน)</t>
  </si>
  <si>
    <t>องค์ประกอบการประเมิน</t>
  </si>
  <si>
    <t>รวมคะแนนที่ได้</t>
  </si>
  <si>
    <t>ระดับผลการประเมิน</t>
  </si>
  <si>
    <t>ผลสัมฤทธิ์ของงาน</t>
  </si>
  <si>
    <t>พฤติกรรมการปฏิบัติงาน</t>
  </si>
  <si>
    <t>ระดับ 5 ดีเด่น (95-100)</t>
  </si>
  <si>
    <t>ระดับ 4 ดีมาก (85-94.99)</t>
  </si>
  <si>
    <t>ระดับ 3 ดี (70-84.99)</t>
  </si>
  <si>
    <t>ระดับ 2 พอใช้ (60-69.99)</t>
  </si>
  <si>
    <t>ระดับ 1 ต้องปรับปรุง (1-59.99)</t>
  </si>
  <si>
    <t>ความคิดเห็นเพิ่มเติมของผู้ประเมิน</t>
  </si>
  <si>
    <t>ข้อเสนอแนะเกี่ยวกับแนวทางพัฒนา</t>
  </si>
  <si>
    <t>ผู้ประเมินและผู้รับการประเมินได้เห็นชอบผลการประเมินร่วมกันแล้วจึงได้ลงลายมือชื่อไว้เป็นหลักฐาน</t>
  </si>
  <si>
    <t>ลงชื่อผู้ประเมิน</t>
  </si>
  <si>
    <t>ลงชื่อผู้รับการประเมิน</t>
  </si>
  <si>
    <t>ลงชื่อพยาน</t>
  </si>
  <si>
    <t xml:space="preserve"> </t>
  </si>
  <si>
    <t xml:space="preserve"> (กรณีที่ผู้รับการประเมินไม่ยอมลงลายมือชื่อรับทราบผลการประเมิน)</t>
  </si>
  <si>
    <t>ชื่อรองคณบดี</t>
  </si>
  <si>
    <t>ชื่อผู้ประเมิน</t>
  </si>
  <si>
    <t>คณะมนุษยศาสตร์และสังคมศาสตร์  มหาวิทยาลัยสวนดุสิต</t>
  </si>
  <si>
    <t xml:space="preserve">แบบสรุปการประเมินผลการปฏิบัติงาน ปีงบประมาณ พ.ศ. </t>
  </si>
  <si>
    <t>วิชาที่สอน</t>
  </si>
  <si>
    <t>จำนวน อ.</t>
  </si>
  <si>
    <t>จำนวน นศ.</t>
  </si>
  <si>
    <t>ภาระงาน</t>
  </si>
  <si>
    <t>ชม./สัปดาห์</t>
  </si>
  <si>
    <t>ผลการพิจารณา</t>
  </si>
  <si>
    <t>มากกว่า 50 คน</t>
  </si>
  <si>
    <t>น้อยกว่า 50 คน</t>
  </si>
  <si>
    <t>น้อยกว่า 10 คน</t>
  </si>
  <si>
    <t>ค่าคะแนน</t>
  </si>
  <si>
    <t>แบบบันทึกผลการปฏิบัติงาน ประจำปีงบประมาณ พ.ศ.</t>
  </si>
  <si>
    <t>ลักษณะงาน</t>
  </si>
  <si>
    <t>คุณภาพของงาน</t>
  </si>
  <si>
    <t>๐ ต้องมีแผนบริหารการสอน 15 สัปดาห์</t>
  </si>
  <si>
    <t>๐ ต้องมีระบบการอ้างอิงเอกสารที่ถูกต้อง/สมบูรณ์</t>
  </si>
  <si>
    <t>๐ จัดทำเป็นรูปเล่มที่สมบูรณ์ตามที่ ม. กำหนด</t>
  </si>
  <si>
    <t>ภาระงานรวม</t>
  </si>
  <si>
    <t>ภาระงานที่ได้</t>
  </si>
  <si>
    <t>๐ ผ่านการประเมินจากผู้ทรงคุณวุฒิ</t>
  </si>
  <si>
    <t>๐ นำสัดส่วนผู้ร่วมงานไปคำนวนภาระงานด้วย</t>
  </si>
  <si>
    <t>จากทั้งหมด</t>
  </si>
  <si>
    <t>๐ ใช้ประเมินได้ 3 ปี หลังจากตีพิมพ์ครั้งที่ 1</t>
  </si>
  <si>
    <t>ผลพิจารณา</t>
  </si>
  <si>
    <t>อยู่ระหว่างดำเนินงาน 5 ภาระงาน/สัปดาห์</t>
  </si>
  <si>
    <t>รายงานการวิจัยฉบับสมบูรณ์ 7 ภาระงาน/สัปดาห์</t>
  </si>
  <si>
    <t>สถานะ</t>
  </si>
  <si>
    <t>เสร็จสิ้น</t>
  </si>
  <si>
    <t>ยังไม่เสร็จ</t>
  </si>
  <si>
    <t>๐ ต้องมีข้อเสนอโครงการวิจัย</t>
  </si>
  <si>
    <t>๐ สัญญารับทุนอุดหนุนการวิจัย</t>
  </si>
  <si>
    <t>๐ รายงานความก้าวหน้าการวิจัย</t>
  </si>
  <si>
    <t>ลักษณะทุน</t>
  </si>
  <si>
    <t>ปี/ชื่อผลงาน</t>
  </si>
  <si>
    <t>ลักษณะทุน / สถานะ</t>
  </si>
  <si>
    <t>ค่าถ่วงหนัก</t>
  </si>
  <si>
    <t>รายงานการวิจัย (เสร็จสิ้น)</t>
  </si>
  <si>
    <t>ลักษณะการเผยแพร่</t>
  </si>
  <si>
    <t>ผู้ร่วมงาน</t>
  </si>
  <si>
    <t>จำนวนบท</t>
  </si>
  <si>
    <t>Inter/Proceeding</t>
  </si>
  <si>
    <t>Inter/Oral</t>
  </si>
  <si>
    <t>Inter/Poster</t>
  </si>
  <si>
    <t>หลักฐาน</t>
  </si>
  <si>
    <t>๐ บทความวิจัยหรือบทความวิชาการ</t>
  </si>
  <si>
    <t>๐ หนังสือตอบรับการพิมพ์เผยแพร่</t>
  </si>
  <si>
    <t>๐ เอกสารหลักฐานข้อมูลของวารสาร</t>
  </si>
  <si>
    <t>๐ ใช้ได้เพียง 1 ครั้งเท่านั้น</t>
  </si>
  <si>
    <t>การใช้ประโยชน์</t>
  </si>
  <si>
    <t>ประโยชน์ระดับประเทศ</t>
  </si>
  <si>
    <t>ประโยชน์ระดับภูมิภาค</t>
  </si>
  <si>
    <t>ประโยชน์ระดับจังหวัด</t>
  </si>
  <si>
    <t>ประโยชน์ระดับอำเภอ</t>
  </si>
  <si>
    <t>ประโยชน์ระดับชุมชน</t>
  </si>
  <si>
    <t>อนุญาตใช้-สิทธบัตร</t>
  </si>
  <si>
    <t>อนุญาตใช้-อนุสิทธบัตร</t>
  </si>
  <si>
    <t>ผ่านการยื่นขอจด-สิทธิบัตร</t>
  </si>
  <si>
    <t>ผ่านการยื่นขอจด-อนุสิทธิบัตร</t>
  </si>
  <si>
    <t>รายละเอียดของงาน</t>
  </si>
  <si>
    <t>งานบริหาร</t>
  </si>
  <si>
    <t>คน</t>
  </si>
  <si>
    <t>ปริมาณงาน</t>
  </si>
  <si>
    <t>วิทยากร / ที่ปรึกษา</t>
  </si>
  <si>
    <t>No</t>
  </si>
  <si>
    <t>เกณฑ์การประเมิน</t>
  </si>
  <si>
    <t>๐ สอดคล้องกับรายวิชาที่สอนในรอบการประเมิน</t>
  </si>
  <si>
    <t>การควบคุมวิทยานิพนธ์</t>
  </si>
  <si>
    <t>ที่ปรึกษาหลัก - ป.เอก</t>
  </si>
  <si>
    <t>ค่าน้ำหนัก</t>
  </si>
  <si>
    <t>ที่ปรึกษาร่วม - ป.เอก</t>
  </si>
  <si>
    <t>ที่ปรึกษาหลัก - ป.โท</t>
  </si>
  <si>
    <t>ที่ปรึกษาร่วม - ป.โท</t>
  </si>
  <si>
    <t>กรรมการสอบหัวข้อ - ป.โท</t>
  </si>
  <si>
    <t>กรรมการสอบปิดเล่ม - ป.เอก</t>
  </si>
  <si>
    <t>กรรมการสอบปิดเล่ม - ป.โท</t>
  </si>
  <si>
    <t>ค่าเป้าหมายการประเมิน</t>
  </si>
  <si>
    <t>คำสั่ง - ระบุวันที่</t>
  </si>
  <si>
    <t xml:space="preserve">คำสั่ง - ไม่ระบุวันที่ </t>
  </si>
  <si>
    <t>รอบที่ 1 -</t>
  </si>
  <si>
    <t xml:space="preserve">รอบที่ 2 - </t>
  </si>
  <si>
    <t>ตำแหน่งทางวิชาการ</t>
  </si>
  <si>
    <t>ผู้ช่วยศาสตราจารย์</t>
  </si>
  <si>
    <t>รองศาสตราจารย์</t>
  </si>
  <si>
    <t>ศาสตราจารย์</t>
  </si>
  <si>
    <t>ถึง  31  ธันวาคม</t>
  </si>
  <si>
    <t>ถึง  30  มิถุนายน</t>
  </si>
  <si>
    <t>ภาษาอังกฤษ</t>
  </si>
  <si>
    <t>จิตวิทยาอุตสาหกรรมและองค์การ</t>
  </si>
  <si>
    <t>คณะมนุษยศาสตร์และสังคมศาสตร์</t>
  </si>
  <si>
    <t>สังกัด</t>
  </si>
  <si>
    <t>อนุมัติ</t>
  </si>
  <si>
    <t>ไม่อนุมัติ</t>
  </si>
  <si>
    <t>เกณฑ์การพิจารณา</t>
  </si>
  <si>
    <t xml:space="preserve">จำนวน </t>
  </si>
  <si>
    <t>ชาติ/TCI-1</t>
  </si>
  <si>
    <t>ชาติ/TCI-2</t>
  </si>
  <si>
    <t>ชาติ/TCI-3</t>
  </si>
  <si>
    <t>ชาติ/Proceeding</t>
  </si>
  <si>
    <t>ชาติ/Oral</t>
  </si>
  <si>
    <t>ชาติ/Poster</t>
  </si>
  <si>
    <t>องค์ประกอบที่ 1 : ผลสัมฤทธิ์ของงาน - งานสนับสนุนการปฏิบัติงาน</t>
  </si>
  <si>
    <t>องค์ประกอบที่ 1 : ผลสัมฤทธิ์ของงาน - งานวิชาการ</t>
  </si>
  <si>
    <t>องค์ประกอบที่ 1 : ผลสัมฤทธิ์ของงาน - งานสอน</t>
  </si>
  <si>
    <t>คะแนนผลสัมฤทธิ์ของงาน รวม 70 คะแนน</t>
  </si>
  <si>
    <t>Tab</t>
  </si>
  <si>
    <t>งานสอน</t>
  </si>
  <si>
    <t>งานวิชาการ</t>
  </si>
  <si>
    <t>งานสนับสนุนการปฏิบัติงาน</t>
  </si>
  <si>
    <t>E69</t>
  </si>
  <si>
    <t>E70</t>
  </si>
  <si>
    <t>E71</t>
  </si>
  <si>
    <t>E72</t>
  </si>
  <si>
    <t>E73</t>
  </si>
  <si>
    <t>E74</t>
  </si>
  <si>
    <t>E76</t>
  </si>
  <si>
    <t>E77</t>
  </si>
  <si>
    <t>E78</t>
  </si>
  <si>
    <t>E79</t>
  </si>
  <si>
    <t>E80</t>
  </si>
  <si>
    <t>E81</t>
  </si>
  <si>
    <t>E82</t>
  </si>
  <si>
    <t>E83</t>
  </si>
  <si>
    <t>E63</t>
  </si>
  <si>
    <t>E64</t>
  </si>
  <si>
    <t>E65</t>
  </si>
  <si>
    <t>E66</t>
  </si>
  <si>
    <t>E52</t>
  </si>
  <si>
    <t>E53</t>
  </si>
  <si>
    <t>E54</t>
  </si>
  <si>
    <t>E55</t>
  </si>
  <si>
    <t>E56</t>
  </si>
  <si>
    <t>E57</t>
  </si>
  <si>
    <t>E58</t>
  </si>
  <si>
    <t>E59</t>
  </si>
  <si>
    <t>E60</t>
  </si>
  <si>
    <t>E61</t>
  </si>
  <si>
    <t>E39</t>
  </si>
  <si>
    <t>E41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</si>
  <si>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</si>
  <si>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</si>
  <si>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</si>
  <si>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</si>
  <si>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</si>
  <si>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</si>
  <si>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</si>
  <si>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</si>
  <si>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</si>
  <si>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E32</t>
  </si>
  <si>
    <t>E33</t>
  </si>
  <si>
    <t>E34</t>
  </si>
  <si>
    <t>E35</t>
  </si>
  <si>
    <t>E36</t>
  </si>
  <si>
    <t>E37</t>
  </si>
  <si>
    <t>E29</t>
  </si>
  <si>
    <t>E30</t>
  </si>
  <si>
    <t>E24</t>
  </si>
  <si>
    <t>E25</t>
  </si>
  <si>
    <t>E26</t>
  </si>
  <si>
    <t>E27</t>
  </si>
  <si>
    <t>E28</t>
  </si>
  <si>
    <t>งานตามภาระกิจของคณะ</t>
  </si>
  <si>
    <t>E85</t>
  </si>
  <si>
    <t>(ชื่อผู้ที่จะเป็นพยานการลงนาม)</t>
  </si>
  <si>
    <t>รวมภาระงานที่ทำได้ทั้งสิ้น</t>
  </si>
  <si>
    <t>๐ มี นศ. ในที่ปรึกษาการฝึกประสบการณ์ 5 คน = 1 ภาระงาน</t>
  </si>
  <si>
    <t>องค์ประกอบที่ 2 : พฤติกรรมการปฏิบัติงาน</t>
  </si>
  <si>
    <t>ประเมินตนเอง</t>
  </si>
  <si>
    <t>ความคิดเห็น กรรมการประเมิน</t>
  </si>
  <si>
    <t>ความคิดเห็น</t>
  </si>
  <si>
    <t>เห็นด้วย</t>
  </si>
  <si>
    <t>E88</t>
  </si>
  <si>
    <t>E90</t>
  </si>
  <si>
    <t>เพิ่ม</t>
  </si>
  <si>
    <t>ลด</t>
  </si>
  <si>
    <t>ไม่มี</t>
  </si>
  <si>
    <t>มี</t>
  </si>
  <si>
    <t>HI=1</t>
  </si>
  <si>
    <t>I10=1</t>
  </si>
  <si>
    <t>J10=1</t>
  </si>
  <si>
    <t>ชั่วโมง/สัปดาห์</t>
  </si>
  <si>
    <t>คณบดี</t>
  </si>
  <si>
    <t>ความคิดเห็นคณบดี</t>
  </si>
  <si>
    <t>ภาพรวม</t>
  </si>
  <si>
    <t>องค์ประกอบที่ 1 : ผลสัมฤทธิ์ของงาน - งานตามภารกิจของคณะฯ และมหาวิทยาลัย</t>
  </si>
  <si>
    <t>พฤติกรรมที่คาดหวัง</t>
  </si>
  <si>
    <t>1 กรกฎาคม</t>
  </si>
  <si>
    <t>พัฒนาโดย :</t>
  </si>
  <si>
    <t>1 มกราคม</t>
  </si>
  <si>
    <t>มีบ้าง</t>
  </si>
  <si>
    <t>ขรก.</t>
  </si>
  <si>
    <t>พนม.</t>
  </si>
  <si>
    <t>1 ตุลาคม</t>
  </si>
  <si>
    <t>ประเภท</t>
  </si>
  <si>
    <t>ถึง  31  มีนาคม</t>
  </si>
  <si>
    <t>1 เมษายน</t>
  </si>
  <si>
    <t>ถึง  30  กันยายน</t>
  </si>
  <si>
    <t>เงื่อนไขรอบการประเมิน</t>
  </si>
  <si>
    <t>ประเภทการประเมิน</t>
  </si>
  <si>
    <t>ข้าราชการ - รอบที่ 1</t>
  </si>
  <si>
    <t>ข้าราชการ - รอบที่ 2</t>
  </si>
  <si>
    <t>พนักงานมหาวิทยาลัย - รอบที่ 1</t>
  </si>
  <si>
    <t>พนักงานมหาวิทยาลัย - รอบที่ 2</t>
  </si>
  <si>
    <t>๐ กรณีตำรา ใช้ประเมินได้ 3 ปี หลังจากปีที่มีการพิมพ์แก้ไขเพิ่มเติม</t>
  </si>
  <si>
    <t>รองคณบดี</t>
  </si>
  <si>
    <t>E75</t>
  </si>
  <si>
    <t>E84</t>
  </si>
  <si>
    <t>E87</t>
  </si>
  <si>
    <t>E91</t>
  </si>
  <si>
    <t>ที่ปรึกษางานวิจัย</t>
  </si>
  <si>
    <t>E93</t>
  </si>
  <si>
    <t>E94</t>
  </si>
  <si>
    <t>E95</t>
  </si>
  <si>
    <t>กรรมการตรวจ - หนังสือ/ตำรา/รายงานการวิจัย</t>
  </si>
  <si>
    <t>กรรมการงานวิชาการ - ระดับประเทศ/นานาชาติ</t>
  </si>
  <si>
    <t>กรรมการงานวิชาการ - ระดับชุมชน/จังหวัด</t>
  </si>
  <si>
    <t>กรรมการงานวิชาการ - ภายใน ม.</t>
  </si>
  <si>
    <t xml:space="preserve">เอกสารประกอบการเรียน 6 ภาระงาน/สัปดาห์ โดย </t>
  </si>
  <si>
    <t xml:space="preserve">เอกสารประกอบการสอน 6 ภาระงาน/สัปดาห์ โดย </t>
  </si>
  <si>
    <t>ปีงบประมาณ</t>
  </si>
  <si>
    <t>1. ค่านิยมความเป็นสวนดุสิต</t>
  </si>
  <si>
    <t>มีบุคลิกภาพที่ดี เป็นต้นแบบการประพฤติตนอย่างเหมาะสมกับการเป็นคน “สวนดุสิต”</t>
  </si>
  <si>
    <t>ดำเนินงานตามแนวนโยบายของมหาวิทยาลัยอย่างเต็มศักยภาพ</t>
  </si>
  <si>
    <t>ปฏิบัติงานตามที่ได้รับมอบหมาย จากมหาวิทยาลัยหรือคณะ โดยมีผลงานเชิงประจักษ์</t>
  </si>
  <si>
    <t>2. การเปิดกว้างทางความคิดอย่างอิสระและการคิดสร้างสรรค์</t>
  </si>
  <si>
    <t>มีกรอบความคิดที่เปิดกว้างเพื่อพร้อมรับการเปลี่ยนแปลง</t>
  </si>
  <si>
    <t xml:space="preserve">มีทัศนคติและมุมมองต่อสิ่งต่าง ๆ ในเชิงบวก </t>
  </si>
  <si>
    <t>มีการแสดงความคิดใหม่เพื่อการพัฒนาตนและพัฒนางาน</t>
  </si>
  <si>
    <t>มีความรู้และความคิดสร้างสิ่งใหม่ที่สัมพันธ์กับงานของตนและสอดคล้องกับแนวนโยบายมหาวิทยาลัย</t>
  </si>
  <si>
    <t>สามารถพัฒนาความคิดหรือระดมความคิดสู่การปฏิบัติด้วยวิธีการที่หลากหลายจนเป็นผลสำเร็จ</t>
  </si>
  <si>
    <t>3. การปฏิบัติงานและสร้างงานคุณภาพด้วยความมุ่งมั่น ฝักใฝ่ในงาน เพื่อยกระดับการทำงาน ...</t>
  </si>
  <si>
    <t>มีการกำหนดเป้าหมายของผลงานสูงกว่ากว่าเกณฑ์มาตรฐาน โดยวางแผนการดำเนินงานอย่างเป็นระบบ ดำเนินการตามแผนที่วางไว้ด้วยความเสียสละ อดทน และมุ่งมั่น ด้วยจิตสำนึกแห่งคุณภาพและความรับผิดชอบ</t>
  </si>
  <si>
    <t>มีความมุ่งมั่นและอุทิศตนในการปฏิบัติงานอย่างมีคุณภาพด้วยความประณีตและความเป็นมืออาชีพ</t>
  </si>
  <si>
    <t>มีการตรวจสอบและประเมินผลการปฏิบัติงานของตนเองอย่างต่อเนื่องและเป็นระบบเพื่อนำผลการประเมินมาพัฒนากระบวนการดำเนินงานให้ดียิ่งขึ้น</t>
  </si>
  <si>
    <t>มีการเพิ่มระดับมาตรฐานของคุณภาพของผลงานและพัฒนากระบวนการดำเนินงานให้เหมาะสมอย่างต่อเนื่อง เพื่อให้เกิดผลงานที่เป็นเลิศตามพลวัตที่เปลี่ยนไป</t>
  </si>
  <si>
    <t>มีการเรียนรู้และพัฒนาตนเองอย่างต่อเนื่องทั้งในศาสตร์ที่เป็นวิชาชีพของตนเองและศาสตร์อื่น ๆ ที่เกี่ยวข้อง จนมีความเชี่ยวชาญเป็นมืออาชีพ และมีความก้าวหน้าในตำแหน่งหน้าที่ตามสายงานอย่างต่อเนื่อง</t>
  </si>
  <si>
    <t>4. การคิดเชิงออกแบบเพื่อการสร้างสรรค์สิ่งใหม่และแก้ปัญหาอย่างเป็นระบบ</t>
  </si>
  <si>
    <t xml:space="preserve">สามารถทำงานร่วมกันเป็นทีมเพื่อการจัดการความรู้แบบบูรณาการจากหลากหลายสาขา </t>
  </si>
  <si>
    <t>วิเคราะห์ สังเคราะห์องค์ความรู้จาก PLC ไปสู่การสร้างสรรค์ผลงานเชิงบวกที่เป็นรูปธรรม</t>
  </si>
  <si>
    <t>นำความคิดสร้างสรรค์ไปออกแบบงานของตนได้สอดคล้องกับแนวทางนโยบายของมหาวิทยาลัย/ชุมชน/สังคม</t>
  </si>
  <si>
    <t>ลงมือปฏิบัติตามแนวคิดสร้างสรรค์ เพื่อการสร้างนวัตกรรมหรือการแก้ไขปัญหาอย่างเป็นระบบ</t>
  </si>
  <si>
    <t>5. การตระหนักรู้ถึงการจัดลำดับความสำคัญและการสนองตอบต่อภาวะเร่งด่วนอย่างทันท่วงทีเพื่อความอยู่รอดอย่างยั่งยืน</t>
  </si>
  <si>
    <t>ตระหนักรู้ถึงลำดับความสำคัญและภาวะความเร่งด่วนของแต่ละภาระงานที่ได้รับมอบหมาย</t>
  </si>
  <si>
    <t>จัดวางแผนงานตามลำดับความสำคัญและภาวะความเร่งด่วนอย่างเป็นระบบ</t>
  </si>
  <si>
    <t>ลงมือปฏิบัติภารกิจที่อยู่ในความรับผิดชอบ ตามความสำคัญและความเร่งด่วน</t>
  </si>
  <si>
    <t>ประเมินผลการดำเนินงานตามภารกิจด้วย วงจรคุณภาพอย่างเป็นระบบต่อเนื่อง</t>
  </si>
  <si>
    <t>สรุปรายงานผลการดำเนินงานตามภารกิจและนำผลความสำเร็จหรือข้อบกพร่องไปสู่การพัฒนาและปรับปรุงงานเพื่อความอยู่รอดและยั่งยืน</t>
  </si>
  <si>
    <t>6. การมีทักษะใหม่ที่จำเป็น</t>
  </si>
  <si>
    <t>7. การสร้างความเชี่ยวชาญในงานด้วยการลงมือปฏิบัติและรู้จริงในสิ่งที่ทำ</t>
  </si>
  <si>
    <t>อาจารย์ประจำคณะฯ</t>
  </si>
  <si>
    <t>พฤติกรรมการปฏิบัติงาน (สมรรถนะ) (30 คะแนน)</t>
  </si>
  <si>
    <t>สมรรถนะผู้ปฏิบัติงานมหาวิทยาลัยสวนดุสิต</t>
  </si>
  <si>
    <t>1. ค่านิยมความเป็นสวนดุสิต (SDU Guiding Values "GROW")</t>
  </si>
  <si>
    <t>2. การเปิดกว้างทางความคิดอย่างอิสระและการคิดสร้างสรรค์ (Empowering Ideas and Creative Thinking)</t>
  </si>
  <si>
    <t>3. การปฏิบัติงานและสร้างงานคุณภาพด้วยความมุ่งมั่น ฝักใฝ่ในงาน เพื่อยกระดับการทำงานที่แสดงให้เห็นถึงความประณีตและความเป็นมืออาชีพ</t>
  </si>
  <si>
    <t>4. การคิดเชิงออกแบบเพื่อการสร้างสรรค์สิ่งใหม่และแก้ปัญหาอย่างเป็นระบบ (Design Thinking)</t>
  </si>
  <si>
    <t>5. การตระหนักรู้ถึงการจัดลำดับความสำคัญและการสนองตอบต่อภาวะเร่งด่วนอย่างทันท่วงทีเพื่อความอยู่รอดอย่างยั่งยืน (Sense of Piorities and Urgency)</t>
  </si>
  <si>
    <t>6. การมีทักษะใหม่ที่จำเป็น (New Skills)</t>
  </si>
  <si>
    <t>7. การสร้างความเชี่ยวชาญในงานด้วยการลงมือปฏิบัติและรู้จริงในสิ่งที่ทำ (Professional by Hands)</t>
  </si>
  <si>
    <t>ภาษาและการสื่อสาร</t>
  </si>
  <si>
    <t>ผลสัมฤทธิ์ของงานตามข้อบังคับฯ และภาระงาน (70 คะแนน)</t>
  </si>
  <si>
    <t>คำนวนสัดส่วนการปฏิบัติงาน</t>
  </si>
  <si>
    <t>งานคณะฯ</t>
  </si>
  <si>
    <t>งานมหาวิทยาลัย</t>
  </si>
  <si>
    <t>Sum of ภาระงาน</t>
  </si>
  <si>
    <t>Row Labels</t>
  </si>
  <si>
    <t>Grand Total</t>
  </si>
  <si>
    <t>Sum of ภาระงาน2</t>
  </si>
  <si>
    <t>อยู่ระหว่างดำเนินงาน (ยังไม่เสร็จ)</t>
  </si>
  <si>
    <t>๐ ทุนส่วนตัว = 5 ภาระงาน</t>
  </si>
  <si>
    <t>๐ ทุนส่วนตัว = 7 ภาระงาน</t>
  </si>
  <si>
    <t>ส่วนตัว/ไม่เสร็จ</t>
  </si>
  <si>
    <t>ส่วนตัว/เสร็จสิ้น</t>
  </si>
  <si>
    <t>Inter/I.F.&gt;3/Q1</t>
  </si>
  <si>
    <t>Inter/I.F.1-3/Q2</t>
  </si>
  <si>
    <t>Inter/I.F.0-1/Q3,Q4</t>
  </si>
  <si>
    <t>๐ ทุน&lt;500,000 = 9 ภาระ</t>
  </si>
  <si>
    <t>๐ ทุน&gt;500,000 = 10 ภาระ</t>
  </si>
  <si>
    <t>๐ ทุน&lt;500,000 = 12 ภาระ</t>
  </si>
  <si>
    <t>๐ ทุน&gt;500,000 = 14 ภาระ</t>
  </si>
  <si>
    <t>ผ่านการรับรองสิทธิบัตร/อนุ</t>
  </si>
  <si>
    <t>ภาษาจีนเพื่องานบริการ</t>
  </si>
  <si>
    <t>สัปดาห์ที่สอน</t>
  </si>
  <si>
    <t>จำนวนสัปดาห์</t>
  </si>
  <si>
    <t>๐ กรณีปรับปรุง ต้องมีหลักฐาน Peer Review</t>
  </si>
  <si>
    <t>E51</t>
  </si>
  <si>
    <t>E62</t>
  </si>
  <si>
    <t>E67</t>
  </si>
  <si>
    <t>E68</t>
  </si>
  <si>
    <t>E89</t>
  </si>
  <si>
    <t>E92</t>
  </si>
  <si>
    <t>E96</t>
  </si>
  <si>
    <t>E38</t>
  </si>
  <si>
    <t>E97</t>
  </si>
  <si>
    <t>ทุนใน&lt;500,000/ไม่เสร็จ</t>
  </si>
  <si>
    <t>ทุนใน&lt;500,000/เสร็จสิ้น</t>
  </si>
  <si>
    <t>ทุนนอก&lt;500,000/ไม่เสร็จ</t>
  </si>
  <si>
    <t>ทุนนอก&gt;500,000/ไม่เสร็จ</t>
  </si>
  <si>
    <t>ทุนนอก&lt;500,000/เสร็จสิ้น</t>
  </si>
  <si>
    <t>ทุนนอก&gt;500,000/เสร็จสิ้น</t>
  </si>
  <si>
    <t>ประธานหลักสูตร - ป.ตรี</t>
  </si>
  <si>
    <t>ผู้รับผิดชอบหลักสูตร - ป.ตรี</t>
  </si>
  <si>
    <t>อาจารย์ที่ปรึกษา - ป.ตรี</t>
  </si>
  <si>
    <t>E98</t>
  </si>
  <si>
    <t>E99</t>
  </si>
  <si>
    <t>ประธานหลักสูตร - ป.โท</t>
  </si>
  <si>
    <t>ผู้รับผิดชอบหลักสูตร - ป.โท</t>
  </si>
  <si>
    <t>อาจารย์ที่ปรึกษา - ป.โท</t>
  </si>
  <si>
    <t>E100</t>
  </si>
  <si>
    <t>E101</t>
  </si>
  <si>
    <t>E102</t>
  </si>
  <si>
    <t>ประธานหลักสูตร - ป.เอก</t>
  </si>
  <si>
    <t>ผู้รับผิดชอบหลักสูตร - ป.เอก</t>
  </si>
  <si>
    <t>อาจารย์ที่ปรึกษา - ป.เอก</t>
  </si>
  <si>
    <t>ผศ.ดร.บรรพต พิจิตรกำเนิด</t>
  </si>
  <si>
    <t>มหาวิทยาลัยสวนดุสิต</t>
  </si>
  <si>
    <t>bunpodp@gmail.com</t>
  </si>
  <si>
    <t>รศ.ดร.ยุทธพงษ์ ลีลากิจไพศาล</t>
  </si>
  <si>
    <t>ตอนเรียน</t>
  </si>
  <si>
    <t xml:space="preserve">๐ ดูแล นศ. รายวิชาฝึกประสบการณ์ 1 ตอนเรียน = 4 </t>
  </si>
  <si>
    <t>วิทยากร - รายวิชา</t>
  </si>
  <si>
    <t>ชม. * น้ำหนัก / 15 สัปดาห์</t>
  </si>
  <si>
    <t>ชม. * น้ำหนัก แต่ไม่เกิน 6 ภาระงาน</t>
  </si>
  <si>
    <t>ชม. * น้ำหนัก แต่ไม่เกิน 9 ภาระงาน</t>
  </si>
  <si>
    <t>วิทยากร - โครงการ/สัมมนา</t>
  </si>
  <si>
    <t>-</t>
  </si>
  <si>
    <t>ไม่เกิน</t>
  </si>
  <si>
    <t>ผู้จัดการโครงการที่ ม. อนุมัติ</t>
  </si>
  <si>
    <t>ผู้สอนโครงการที่ ม.อนุมัติ - นับชั่วโมง</t>
  </si>
  <si>
    <t>กรรมการตรวจ - เครื่องมือวิจัย ป.โท/เอก</t>
  </si>
  <si>
    <t>กรรมการตรวจ - เอกสารการสอน/บทความ/วิจัย ป.โท/เอก</t>
  </si>
  <si>
    <t>12 ชม.</t>
  </si>
  <si>
    <t>9 ชม.</t>
  </si>
  <si>
    <t>หลักสูตร</t>
  </si>
  <si>
    <t>จำนวน</t>
  </si>
  <si>
    <t>ชั่วโมง</t>
  </si>
  <si>
    <t>รายการ</t>
  </si>
  <si>
    <t xml:space="preserve">คำแนะนำ </t>
  </si>
  <si>
    <r>
      <t>๐ มีการปรับปรุงอย่างต่อเนื่อง</t>
    </r>
    <r>
      <rPr>
        <sz val="14"/>
        <color rgb="FF0000FF"/>
        <rFont val="TH Sarabun New"/>
        <family val="2"/>
      </rPr>
      <t xml:space="preserve"> (ทุกปีการศึกษา)</t>
    </r>
  </si>
  <si>
    <r>
      <rPr>
        <b/>
        <sz val="16"/>
        <color theme="1"/>
        <rFont val="TH Sarabun New"/>
        <family val="2"/>
      </rPr>
      <t>ตำรา / หนังสือ 24 ภาระงาน/สัปดาห์</t>
    </r>
    <r>
      <rPr>
        <sz val="16"/>
        <color theme="1"/>
        <rFont val="TH Sarabun New"/>
        <family val="2"/>
      </rPr>
      <t xml:space="preserve"> โดย</t>
    </r>
  </si>
  <si>
    <r>
      <t>%</t>
    </r>
    <r>
      <rPr>
        <b/>
        <sz val="14"/>
        <color theme="1"/>
        <rFont val="TH Sarabun New"/>
        <family val="2"/>
      </rPr>
      <t>รับผิดชอบ</t>
    </r>
  </si>
  <si>
    <r>
      <t>ดูแล</t>
    </r>
    <r>
      <rPr>
        <b/>
        <sz val="16"/>
        <rFont val="TH Sarabun New"/>
        <family val="2"/>
      </rPr>
      <t>นักศึกษา</t>
    </r>
    <r>
      <rPr>
        <sz val="16"/>
        <rFont val="TH Sarabun New"/>
        <family val="2"/>
      </rPr>
      <t>ฝึกประสบการณ์ฯ</t>
    </r>
  </si>
  <si>
    <r>
      <t>รับผิดชอบ</t>
    </r>
    <r>
      <rPr>
        <b/>
        <sz val="16"/>
        <rFont val="TH Sarabun New"/>
        <family val="2"/>
      </rPr>
      <t>รายวิชา</t>
    </r>
    <r>
      <rPr>
        <sz val="16"/>
        <rFont val="TH Sarabun New"/>
        <family val="2"/>
      </rPr>
      <t>ฝึกประสบการณ์ฯ</t>
    </r>
  </si>
  <si>
    <t>ผู้ประสานงานรายวิชา (ศึกษาทั่วไป)</t>
  </si>
  <si>
    <r>
      <t xml:space="preserve">มีผลงานวิชาการประเภท </t>
    </r>
    <r>
      <rPr>
        <b/>
        <sz val="16"/>
        <color theme="1"/>
        <rFont val="TH Sarabun New"/>
        <family val="2"/>
      </rPr>
      <t>“หนังสือ”</t>
    </r>
    <r>
      <rPr>
        <sz val="16"/>
        <color theme="1"/>
        <rFont val="TH Sarabun New"/>
        <family val="2"/>
      </rPr>
      <t xml:space="preserve"> ที่มีคุณภาพเทียบเท่ากับการขอตำแหน่งทางวิชาการระดับ ผศ. ขึ้นไป อย่างน้อย 1 ชิ้น หรือ</t>
    </r>
  </si>
  <si>
    <r>
      <t xml:space="preserve">มีผลงานวิชาการประเภท </t>
    </r>
    <r>
      <rPr>
        <b/>
        <sz val="16"/>
        <color theme="1"/>
        <rFont val="TH Sarabun New"/>
        <family val="2"/>
      </rPr>
      <t>“ตำรา”</t>
    </r>
    <r>
      <rPr>
        <sz val="16"/>
        <color theme="1"/>
        <rFont val="TH Sarabun New"/>
        <family val="2"/>
      </rPr>
      <t xml:space="preserve"> ที่มีคุณภาพเทียบเท่ากับการขอตำแหน่งทางวิชาการระดับ ผศ. ขึ้นไป อย่างน้อย 1 ชิ้น หรือ</t>
    </r>
  </si>
  <si>
    <r>
      <t xml:space="preserve">มีการตีพิมพ์ </t>
    </r>
    <r>
      <rPr>
        <b/>
        <sz val="16"/>
        <color theme="1"/>
        <rFont val="TH Sarabun New"/>
        <family val="2"/>
      </rPr>
      <t>“บทความวิจัย”</t>
    </r>
    <r>
      <rPr>
        <sz val="16"/>
        <color theme="1"/>
        <rFont val="TH Sarabun New"/>
        <family val="2"/>
      </rPr>
      <t xml:space="preserve"> TCI ฐาน 2 ขึ้นไป อย่างน้อย 1 ชิ้น หรือ</t>
    </r>
  </si>
  <si>
    <r>
      <t xml:space="preserve">มีการตีพิมพ์ </t>
    </r>
    <r>
      <rPr>
        <b/>
        <sz val="16"/>
        <color theme="1"/>
        <rFont val="TH Sarabun New"/>
        <family val="2"/>
      </rPr>
      <t>“บทความวิชาการ”</t>
    </r>
    <r>
      <rPr>
        <sz val="16"/>
        <color theme="1"/>
        <rFont val="TH Sarabun New"/>
        <family val="2"/>
      </rPr>
      <t xml:space="preserve"> TCI ฐาน 2 ขึ้นไป อย่างน้อย 1 ชิ้น หรือ</t>
    </r>
  </si>
  <si>
    <r>
      <t xml:space="preserve">มี </t>
    </r>
    <r>
      <rPr>
        <b/>
        <sz val="16"/>
        <color theme="1"/>
        <rFont val="TH Sarabun New"/>
        <family val="2"/>
      </rPr>
      <t>Proceeding</t>
    </r>
    <r>
      <rPr>
        <sz val="16"/>
        <color theme="1"/>
        <rFont val="TH Sarabun New"/>
        <family val="2"/>
      </rPr>
      <t xml:space="preserve"> ในการประชุมวิชาการที่มีสมาคมวิชาชีพเข้าร่วม อย่างน้อย 1 ชิ้น</t>
    </r>
  </si>
  <si>
    <t>ผศ.ดร.สฤษดิ์ ศรีโยธิน</t>
  </si>
  <si>
    <t>ลักษณะวิชา</t>
  </si>
  <si>
    <t>E22</t>
  </si>
  <si>
    <t>E23</t>
  </si>
  <si>
    <t>วิชาปกติ</t>
  </si>
  <si>
    <t>วิชาเก็บตก</t>
  </si>
  <si>
    <t xml:space="preserve">Version : </t>
  </si>
  <si>
    <t>ภาระงานสอน คำนวนจากตัวเลขในวงเล็บหลังจำนวนหน่วยกิต เช่น            3 (2-2-5) มีภาระงาน 9              2 (3-0-5) มีภาระงาน 8</t>
  </si>
  <si>
    <t>ตัวอย่าง รายวิชาปกติ กขค นักศึกษา 8 คน</t>
  </si>
  <si>
    <t>ตัวอย่าง รายวิชาเก็บตก ขคง นักศึกษา 8 คน</t>
  </si>
  <si>
    <t>ตัวอย่าง รายวิชาปกติ คงจ นักศึกษา 61 คน</t>
  </si>
  <si>
    <t>คำแนะนำ:</t>
  </si>
  <si>
    <t>เหมาะกับ Excel365</t>
  </si>
  <si>
    <t>ตัวอย่าง รายวิชาปกติ งจฉ นักศึกษา 35 คน</t>
  </si>
  <si>
    <t>ตัวอย่าง รายวิชาปกติ นักศึกษา 26 คน</t>
  </si>
  <si>
    <t xml:space="preserve">ตัวอย่าง รายวิชาสอนเกินภาระงาน </t>
  </si>
  <si>
    <t>22.0 (มกราคม 2569)</t>
  </si>
  <si>
    <t>มีการปฏิบัติงานตาม OKRs ของ Power of Academic Excellence</t>
  </si>
  <si>
    <t>มีการปฏิบัติงานตาม OKRs ของ Power of Research &amp; Innovation</t>
  </si>
  <si>
    <t>มีการปฏิบัติงานตาม OKRs ของ Power of Next Learning Ecosystem</t>
  </si>
  <si>
    <t>มีการปฏิบัติงานตาม OKRs ของ Power of Student &amp; Alumni</t>
  </si>
  <si>
    <t>มีการปฏิบัติงานตาม OKRs ของ Power of Community Engagement</t>
  </si>
  <si>
    <t>จัดทำแผนพัฒนาตนเอง (IDP) ระยะสั้น 6-12 เดือน</t>
  </si>
  <si>
    <t>เข้าร่วมอบรม สัมมนา หรือการเรียนระยะสั้น อย่างน้อย 3 ครั้ง หรือ หลักสูตร</t>
  </si>
  <si>
    <t>ผลลัพธ์ที่ได้จากการพัฒนาตนเอง</t>
  </si>
  <si>
    <r>
      <t xml:space="preserve">3.3 มีการพัฒนาตนเองตามข้อ 3.1 </t>
    </r>
    <r>
      <rPr>
        <b/>
        <sz val="16"/>
        <color theme="1"/>
        <rFont val="TH Sarabun New"/>
        <family val="2"/>
      </rPr>
      <t>และ</t>
    </r>
    <r>
      <rPr>
        <sz val="16"/>
        <color theme="1"/>
        <rFont val="TH Sarabun New"/>
        <family val="2"/>
      </rPr>
      <t xml:space="preserve"> มีผลงานทางวิชาการ เช่น มีผลงานวิชาการ/วิจัย/ตำรา/หรือ มีผลงานตีพิมพ์ Q3-Q4 </t>
    </r>
    <r>
      <rPr>
        <b/>
        <sz val="16"/>
        <color theme="1"/>
        <rFont val="TH Sarabun New"/>
        <family val="2"/>
      </rPr>
      <t>หรือ</t>
    </r>
    <r>
      <rPr>
        <sz val="16"/>
        <color theme="1"/>
        <rFont val="TH Sarabun New"/>
        <family val="2"/>
      </rPr>
      <t xml:space="preserve"> มีการได้รับรางวัลระดับมหาวิทยาลัย/ระดับชาติ</t>
    </r>
  </si>
  <si>
    <r>
      <t xml:space="preserve">3.2 มีการพัฒนาตนเองตามข้อ 3.1 และมีความก้าวหน้าในการจัดทำผลงานทางวิชาการ </t>
    </r>
    <r>
      <rPr>
        <b/>
        <sz val="16"/>
        <color theme="1"/>
        <rFont val="TH Sarabun New"/>
        <family val="2"/>
      </rPr>
      <t>หรือ</t>
    </r>
    <r>
      <rPr>
        <sz val="16"/>
        <color theme="1"/>
        <rFont val="TH Sarabun New"/>
        <family val="2"/>
      </rPr>
      <t>มีการนำผลลัพธ์จากการพัฒนาตนเองมาปรับปรุงและพัฒนาหลักสูตรระยะสั้นและระยะยาว</t>
    </r>
  </si>
  <si>
    <r>
      <t xml:space="preserve">3.1 มีผลลัพธ์ที่สอดคล้องกับแผนพัฒนาตนเอง </t>
    </r>
    <r>
      <rPr>
        <b/>
        <sz val="16"/>
        <color theme="1"/>
        <rFont val="TH Sarabun New"/>
        <family val="2"/>
      </rPr>
      <t>และ</t>
    </r>
    <r>
      <rPr>
        <sz val="16"/>
        <color theme="1"/>
        <rFont val="TH Sarabun New"/>
        <family val="2"/>
      </rPr>
      <t>มีผลการประเมินการสอนในระดับ</t>
    </r>
    <r>
      <rPr>
        <b/>
        <sz val="16"/>
        <color theme="1"/>
        <rFont val="TH Sarabun New"/>
        <family val="2"/>
      </rPr>
      <t>ดี</t>
    </r>
  </si>
  <si>
    <t>1. Power of Academic Excellence (ยกระดับมาตรฐานการศึกษาสู่ระดับสากล)</t>
  </si>
  <si>
    <t>1.2 งานที่ปรากฎเป็นผลงานทางวิชาการ</t>
  </si>
  <si>
    <t>1.1 งานสอน</t>
  </si>
  <si>
    <t>1.2.1 เอกสารประกอบการเรียน หรือ ตำราที่มีการพิมพ์แก้ไขเพิ่มเติม</t>
  </si>
  <si>
    <t>1.2.2 เอกสารประกอบการสอน</t>
  </si>
  <si>
    <t>1.2.3 ตำรา/หนังสือ</t>
  </si>
  <si>
    <t>2. Power of Research &amp; Innovation (ผลิตงานวิจัยและนวัตกรรมที่สร้างคุณค่าให้สังคมและเศรษฐกิจ)</t>
  </si>
  <si>
    <t>2.1 งานวิจัย</t>
  </si>
  <si>
    <t>2.1.1 วิจัยเพื่อพัฒนาการเรียนรู้ (งานวิจัยในชั้นเรียน)</t>
  </si>
  <si>
    <t>2.1.2 งานวิจัย</t>
  </si>
  <si>
    <t>2.1.3 บทความทางวิชาการ</t>
  </si>
  <si>
    <t>2.1.4 ผลงานทางวิชาการในลักษณะอื่นๆ ที่เทียบได้กับงานวิจัย (ต้องเสร็จสมบูรณ์เท่านั้น)</t>
  </si>
  <si>
    <t>3. Power of Student &amp; Alumni (ผลิตบัณฑิตที่พร้อมทำงานจริงและมีเครือข่ายศิษย์เก่าที่เข้มแข็ง)</t>
  </si>
  <si>
    <t>3.1 งานที่สนับสนุนการปฏิบัติงานด้านการพัฒนานักศึกษา</t>
  </si>
  <si>
    <t>วางเมาส์ที่นี่เพื่อศึกษารายละเอียด</t>
  </si>
  <si>
    <t>3.1.1 งานอาจาย์ที่ปรึกษา</t>
  </si>
  <si>
    <t>3.1.2 งานฝึกประสบการณ์วิชาชีพ</t>
  </si>
  <si>
    <t>4. Power of Community Engagement (สร้างความร่วมมือและการมีส่วนร่วมกับชุมชนอย่างยั่งยืน)</t>
  </si>
  <si>
    <t>4.1 ภาระงานบริการวิชาการ</t>
  </si>
  <si>
    <t>4.1.1 วิทยากร / ที่ปรึกษา / กรรมการในงานเชิงวิชาการให้กับหน่วยงานภายในและภายนอก</t>
  </si>
  <si>
    <t>4.1.3 การควบคุมวิทยานิพนธ์ระดับปริญญาโท และปริญญาเอก</t>
  </si>
  <si>
    <t>4.1.2 การเป็นกรรมการตรวจผลงานทางวิชาการ</t>
  </si>
  <si>
    <t>5. Power of Next Learning Ecosystem (สร้างระบบนิเวศการเรียนรู้ที่ทันสมัยและเชื่อมต่อโลกภายนอก)</t>
  </si>
  <si>
    <t>5.1 ภาระงานด้านการบริหารจัดการ</t>
  </si>
  <si>
    <r>
      <t>ปริญญา</t>
    </r>
    <r>
      <rPr>
        <b/>
        <sz val="16"/>
        <rFont val="TH Sarabun New"/>
        <family val="2"/>
      </rPr>
      <t>ตรี</t>
    </r>
  </si>
  <si>
    <t>๐ ระดับปริญญาเดียวกัน -กรรมการบริหารหลักสูตรที่รับผิดชอบหน้าที่มากกว่า 1 อย่าง ให้ใช้คะแนนภาระงานที่มากที่สุด</t>
  </si>
  <si>
    <r>
      <t>ปริญญา</t>
    </r>
    <r>
      <rPr>
        <b/>
        <sz val="16"/>
        <rFont val="TH Sarabun New"/>
        <family val="2"/>
      </rPr>
      <t>โท/เอก</t>
    </r>
  </si>
  <si>
    <t>6. งานตามภารกิจอื่น ๆ ที่คณะฯ มอบหมาย</t>
  </si>
  <si>
    <t>7. งานตามภาระกิจที่มหาวิทยาลัยมอบหมาย</t>
  </si>
  <si>
    <t>ตรงกับ OKR</t>
  </si>
  <si>
    <t>1. Power of Academic Excellence - งานสอน (ตามเกณฑ์ปกติ)</t>
  </si>
  <si>
    <r>
      <t>1. Power of Academic Excellence - งานสอน (</t>
    </r>
    <r>
      <rPr>
        <b/>
        <sz val="16"/>
        <color theme="1"/>
        <rFont val="TH Sarabun New"/>
        <family val="2"/>
      </rPr>
      <t>เกิน</t>
    </r>
    <r>
      <rPr>
        <sz val="16"/>
        <color theme="1"/>
        <rFont val="TH Sarabun New"/>
        <family val="2"/>
      </rPr>
      <t>เกณฑ์ปกติ)</t>
    </r>
  </si>
  <si>
    <t>1. Power of Academic Excellence - งานที่ปรากฎเป็นผลงานทางวิชาการ</t>
  </si>
  <si>
    <t>2. Power of Research &amp; Innovation</t>
  </si>
  <si>
    <t>3. Power of Student &amp; Alumni</t>
  </si>
  <si>
    <t>4. Power of Community Engagement</t>
  </si>
  <si>
    <t>5. Power of Next Learning Ecosystem</t>
  </si>
  <si>
    <t>7. งานตามภารกิจของมหาวิทยาลัย</t>
  </si>
  <si>
    <t>คิดเป็น</t>
  </si>
  <si>
    <t>รอคะแนน</t>
  </si>
  <si>
    <t>10+20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</si>
</sst>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"/>
  </numFmts>
  <fonts count="6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color theme="0"/>
      <name val="TH SarabunPSK"/>
      <family val="2"/>
    </font>
    <font>
      <sz val="48"/>
      <color theme="1"/>
      <name val="TH SarabunPSK"/>
      <family val="2"/>
    </font>
    <font>
      <sz val="16"/>
      <color indexed="10"/>
      <name val="TH SarabunPSK"/>
      <family val="2"/>
    </font>
    <font>
      <b/>
      <sz val="48"/>
      <color rgb="FFFF0000"/>
      <name val="TH SarabunPSK"/>
      <family val="2"/>
    </font>
    <font>
      <sz val="48"/>
      <color rgb="FFFF0000"/>
      <name val="TH SarabunPSK"/>
      <family val="2"/>
    </font>
    <font>
      <sz val="8"/>
      <name val="Tahoma"/>
      <family val="2"/>
      <charset val="222"/>
      <scheme val="minor"/>
    </font>
    <font>
      <b/>
      <sz val="16"/>
      <color indexed="10"/>
      <name val="TH SarabunPSK"/>
      <family val="2"/>
    </font>
    <font>
      <b/>
      <sz val="16"/>
      <color rgb="FF0000FF"/>
      <name val="TH SarabunPSK"/>
      <family val="2"/>
    </font>
    <font>
      <b/>
      <sz val="20"/>
      <color rgb="FF0000FF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indexed="10"/>
      <name val="TH Sarabun New"/>
      <family val="2"/>
    </font>
    <font>
      <sz val="16"/>
      <color indexed="10"/>
      <name val="TH Sarabun New"/>
      <family val="2"/>
    </font>
    <font>
      <b/>
      <sz val="14"/>
      <color indexed="12"/>
      <name val="TH Sarabun New"/>
      <family val="2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b/>
      <sz val="22"/>
      <color rgb="FFFF0000"/>
      <name val="TH Sarabun New"/>
      <family val="2"/>
    </font>
    <font>
      <b/>
      <sz val="14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sz val="16"/>
      <name val="TH Sarabun New"/>
      <family val="2"/>
    </font>
    <font>
      <sz val="11"/>
      <color theme="1"/>
      <name val="TH Sarabun New"/>
      <family val="2"/>
    </font>
    <font>
      <b/>
      <sz val="18"/>
      <color rgb="FF0070C0"/>
      <name val="TH Sarabun New"/>
      <family val="2"/>
    </font>
    <font>
      <b/>
      <sz val="18"/>
      <name val="TH Sarabun New"/>
      <family val="2"/>
    </font>
    <font>
      <sz val="16"/>
      <color rgb="FF00B050"/>
      <name val="TH Sarabun New"/>
      <family val="2"/>
    </font>
    <font>
      <sz val="18"/>
      <color rgb="FF00B050"/>
      <name val="TH Sarabun New"/>
      <family val="2"/>
    </font>
    <font>
      <sz val="14"/>
      <color theme="1"/>
      <name val="TH Sarabun New"/>
      <family val="2"/>
    </font>
    <font>
      <b/>
      <sz val="22"/>
      <color rgb="FF0070C0"/>
      <name val="TH Sarabun New"/>
      <family val="2"/>
    </font>
    <font>
      <sz val="16"/>
      <color theme="0"/>
      <name val="TH Sarabun New"/>
      <family val="2"/>
    </font>
    <font>
      <sz val="16"/>
      <color rgb="FFFF0000"/>
      <name val="TH Sarabun New"/>
      <family val="2"/>
    </font>
    <font>
      <b/>
      <sz val="16"/>
      <name val="TH Sarabun New"/>
      <family val="2"/>
    </font>
    <font>
      <b/>
      <sz val="36"/>
      <color theme="0"/>
      <name val="TH Sarabun New"/>
      <family val="2"/>
    </font>
    <font>
      <sz val="24"/>
      <color theme="1"/>
      <name val="TH Sarabun New"/>
      <family val="2"/>
    </font>
    <font>
      <sz val="24"/>
      <name val="TH Sarabun New"/>
      <family val="2"/>
    </font>
    <font>
      <b/>
      <sz val="24"/>
      <color theme="1"/>
      <name val="TH Sarabun New"/>
      <family val="2"/>
    </font>
    <font>
      <b/>
      <sz val="20"/>
      <color rgb="FF00B0F0"/>
      <name val="TH Sarabun New"/>
      <family val="2"/>
    </font>
    <font>
      <sz val="22"/>
      <name val="TH Sarabun New"/>
      <family val="2"/>
    </font>
    <font>
      <b/>
      <sz val="18"/>
      <color rgb="FF00B0F0"/>
      <name val="TH Sarabun New"/>
      <family val="2"/>
    </font>
    <font>
      <b/>
      <sz val="22"/>
      <color rgb="FF00B0F0"/>
      <name val="TH Sarabun New"/>
      <family val="2"/>
    </font>
    <font>
      <b/>
      <sz val="18"/>
      <color theme="0"/>
      <name val="TH Sarabun New"/>
      <family val="2"/>
    </font>
    <font>
      <b/>
      <sz val="20"/>
      <color theme="1"/>
      <name val="TH Sarabun New"/>
      <family val="2"/>
    </font>
    <font>
      <b/>
      <sz val="20"/>
      <color theme="0"/>
      <name val="TH Sarabun New"/>
      <family val="2"/>
    </font>
    <font>
      <b/>
      <sz val="20"/>
      <color rgb="FF0070C0"/>
      <name val="TH Sarabun New"/>
      <family val="2"/>
    </font>
    <font>
      <b/>
      <sz val="18"/>
      <color rgb="FFFF0000"/>
      <name val="TH Sarabun New"/>
      <family val="2"/>
    </font>
    <font>
      <b/>
      <sz val="16"/>
      <color rgb="FFFF0000"/>
      <name val="TH Sarabun New"/>
      <family val="2"/>
    </font>
    <font>
      <sz val="14"/>
      <color rgb="FF0000FF"/>
      <name val="TH Sarabun New"/>
      <family val="2"/>
    </font>
    <font>
      <b/>
      <sz val="20"/>
      <name val="TH Sarabun New"/>
      <family val="2"/>
    </font>
    <font>
      <sz val="14"/>
      <name val="TH Sarabun New"/>
      <family val="2"/>
    </font>
    <font>
      <sz val="16"/>
      <color theme="0" tint="-4.9989318521683403E-2"/>
      <name val="TH Sarabun New"/>
      <family val="2"/>
    </font>
    <font>
      <b/>
      <sz val="18"/>
      <color theme="0" tint="-4.9989318521683403E-2"/>
      <name val="TH Sarabun New"/>
      <family val="2"/>
    </font>
    <font>
      <b/>
      <sz val="16"/>
      <color theme="0" tint="-4.9989318521683403E-2"/>
      <name val="TH Sarabun New"/>
      <family val="2"/>
    </font>
    <font>
      <b/>
      <sz val="16"/>
      <color rgb="FF0070C0"/>
      <name val="TH Sarabun New"/>
      <family val="2"/>
    </font>
    <font>
      <sz val="16"/>
      <color rgb="FF0070C0"/>
      <name val="TH Sarabun New"/>
      <family val="2"/>
    </font>
    <font>
      <sz val="18"/>
      <name val="TH Sarabun New"/>
      <family val="2"/>
    </font>
    <font>
      <b/>
      <sz val="48"/>
      <color rgb="FF0000FF"/>
      <name val="TH Sarabun New"/>
      <family val="2"/>
    </font>
    <font>
      <b/>
      <sz val="14"/>
      <color indexed="10"/>
      <name val="TH SarabunPSK"/>
      <family val="2"/>
    </font>
    <font>
      <b/>
      <sz val="16"/>
      <color indexed="12"/>
      <name val="TH Sarabun New"/>
      <family val="2"/>
    </font>
    <font>
      <b/>
      <sz val="18"/>
      <color rgb="FFFF0000"/>
      <name val="TH SarabunPSK"/>
      <family val="2"/>
    </font>
    <font>
      <sz val="18"/>
      <color theme="1"/>
      <name val="TH Sarabun New"/>
      <family val="2"/>
    </font>
    <font>
      <sz val="11"/>
      <color theme="1"/>
      <name val="TH Sarabun New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9B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EFBE6"/>
        <bgColor indexed="64"/>
      </patternFill>
    </fill>
    <fill>
      <patternFill patternType="solid">
        <fgColor rgb="FFF0FBF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96">
    <xf numFmtId="0" fontId="0" fillId="0" borderId="0" xfId="0"/>
    <xf numFmtId="0" fontId="6" fillId="0" borderId="0" xfId="0" applyFont="1"/>
    <xf numFmtId="0" fontId="7" fillId="0" borderId="0" xfId="0" applyFont="1"/>
    <xf numFmtId="0" fontId="4" fillId="0" borderId="0" xfId="0" applyFo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6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1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1" xfId="0" applyFont="1" applyBorder="1" applyAlignment="1">
      <alignment horizontal="center"/>
    </xf>
    <xf numFmtId="0" fontId="23" fillId="0" borderId="3" xfId="0" applyFont="1" applyBorder="1"/>
    <xf numFmtId="0" fontId="23" fillId="0" borderId="39" xfId="0" applyFont="1" applyBorder="1" applyAlignment="1">
      <alignment horizontal="center"/>
    </xf>
    <xf numFmtId="0" fontId="24" fillId="0" borderId="0" xfId="0" applyFont="1"/>
    <xf numFmtId="0" fontId="25" fillId="0" borderId="0" xfId="0" applyFont="1"/>
    <xf numFmtId="2" fontId="20" fillId="0" borderId="0" xfId="0" applyNumberFormat="1" applyFont="1"/>
    <xf numFmtId="2" fontId="26" fillId="0" borderId="17" xfId="0" applyNumberFormat="1" applyFont="1" applyBorder="1" applyAlignment="1">
      <alignment horizontal="center"/>
    </xf>
    <xf numFmtId="2" fontId="27" fillId="0" borderId="17" xfId="0" applyNumberFormat="1" applyFont="1" applyBorder="1"/>
    <xf numFmtId="2" fontId="28" fillId="0" borderId="18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/>
    </xf>
    <xf numFmtId="187" fontId="22" fillId="0" borderId="24" xfId="0" applyNumberFormat="1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1" fontId="26" fillId="0" borderId="16" xfId="0" applyNumberFormat="1" applyFont="1" applyBorder="1" applyAlignment="1">
      <alignment horizontal="center"/>
    </xf>
    <xf numFmtId="187" fontId="26" fillId="0" borderId="27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2" fontId="22" fillId="0" borderId="16" xfId="0" applyNumberFormat="1" applyFont="1" applyBorder="1" applyAlignment="1">
      <alignment horizontal="center"/>
    </xf>
    <xf numFmtId="0" fontId="20" fillId="0" borderId="0" xfId="0" applyFont="1" applyAlignment="1">
      <alignment vertical="top"/>
    </xf>
    <xf numFmtId="0" fontId="32" fillId="0" borderId="0" xfId="0" applyFont="1"/>
    <xf numFmtId="0" fontId="32" fillId="0" borderId="0" xfId="0" applyFont="1" applyAlignment="1">
      <alignment horizontal="center"/>
    </xf>
    <xf numFmtId="0" fontId="23" fillId="0" borderId="0" xfId="0" applyFont="1"/>
    <xf numFmtId="0" fontId="32" fillId="0" borderId="0" xfId="0" applyFont="1" applyAlignment="1">
      <alignment horizontal="right"/>
    </xf>
    <xf numFmtId="49" fontId="32" fillId="0" borderId="0" xfId="0" applyNumberFormat="1" applyFont="1"/>
    <xf numFmtId="1" fontId="32" fillId="0" borderId="0" xfId="0" applyNumberFormat="1" applyFont="1" applyAlignment="1">
      <alignment horizontal="center"/>
    </xf>
    <xf numFmtId="0" fontId="33" fillId="0" borderId="0" xfId="0" applyFont="1"/>
    <xf numFmtId="0" fontId="20" fillId="2" borderId="0" xfId="0" applyFont="1" applyFill="1"/>
    <xf numFmtId="0" fontId="24" fillId="2" borderId="0" xfId="0" applyFont="1" applyFill="1" applyProtection="1">
      <protection hidden="1"/>
    </xf>
    <xf numFmtId="0" fontId="24" fillId="2" borderId="0" xfId="0" applyFont="1" applyFill="1"/>
    <xf numFmtId="0" fontId="36" fillId="2" borderId="0" xfId="0" applyFont="1" applyFill="1"/>
    <xf numFmtId="0" fontId="37" fillId="2" borderId="0" xfId="0" applyFont="1" applyFill="1" applyProtection="1">
      <protection hidden="1"/>
    </xf>
    <xf numFmtId="0" fontId="37" fillId="2" borderId="0" xfId="0" applyFont="1" applyFill="1"/>
    <xf numFmtId="0" fontId="38" fillId="2" borderId="0" xfId="0" applyFont="1" applyFill="1" applyAlignment="1">
      <alignment horizontal="center"/>
    </xf>
    <xf numFmtId="0" fontId="38" fillId="3" borderId="32" xfId="0" applyFont="1" applyFill="1" applyBorder="1" applyAlignment="1">
      <alignment horizontal="center"/>
    </xf>
    <xf numFmtId="0" fontId="38" fillId="3" borderId="19" xfId="0" applyFont="1" applyFill="1" applyBorder="1" applyAlignment="1">
      <alignment horizontal="center"/>
    </xf>
    <xf numFmtId="0" fontId="38" fillId="3" borderId="35" xfId="0" applyFont="1" applyFill="1" applyBorder="1" applyAlignment="1">
      <alignment horizontal="center"/>
    </xf>
    <xf numFmtId="0" fontId="16" fillId="3" borderId="0" xfId="0" applyFont="1" applyFill="1" applyAlignment="1">
      <alignment horizontal="right"/>
    </xf>
    <xf numFmtId="0" fontId="39" fillId="2" borderId="0" xfId="0" applyFont="1" applyFill="1" applyAlignment="1" applyProtection="1">
      <alignment horizontal="center"/>
      <protection locked="0"/>
    </xf>
    <xf numFmtId="0" fontId="17" fillId="3" borderId="0" xfId="0" applyFont="1" applyFill="1"/>
    <xf numFmtId="0" fontId="18" fillId="2" borderId="36" xfId="0" applyFont="1" applyFill="1" applyBorder="1" applyAlignment="1" applyProtection="1">
      <alignment horizontal="center"/>
      <protection locked="0"/>
    </xf>
    <xf numFmtId="0" fontId="17" fillId="2" borderId="0" xfId="0" applyFont="1" applyFill="1"/>
    <xf numFmtId="0" fontId="40" fillId="2" borderId="0" xfId="0" applyFont="1" applyFill="1"/>
    <xf numFmtId="0" fontId="42" fillId="3" borderId="0" xfId="0" applyFont="1" applyFill="1" applyAlignment="1" applyProtection="1">
      <alignment vertical="center"/>
      <protection locked="0"/>
    </xf>
    <xf numFmtId="0" fontId="17" fillId="3" borderId="36" xfId="0" applyFont="1" applyFill="1" applyBorder="1"/>
    <xf numFmtId="0" fontId="20" fillId="3" borderId="0" xfId="0" applyFont="1" applyFill="1"/>
    <xf numFmtId="0" fontId="16" fillId="3" borderId="26" xfId="0" applyFont="1" applyFill="1" applyBorder="1" applyAlignment="1">
      <alignment horizontal="right"/>
    </xf>
    <xf numFmtId="0" fontId="16" fillId="3" borderId="14" xfId="0" applyFont="1" applyFill="1" applyBorder="1" applyAlignment="1">
      <alignment horizontal="right"/>
    </xf>
    <xf numFmtId="0" fontId="39" fillId="3" borderId="14" xfId="0" applyFont="1" applyFill="1" applyBorder="1" applyAlignment="1">
      <alignment horizontal="center" vertical="center"/>
    </xf>
    <xf numFmtId="0" fontId="16" fillId="3" borderId="14" xfId="0" applyFont="1" applyFill="1" applyBorder="1"/>
    <xf numFmtId="0" fontId="39" fillId="3" borderId="14" xfId="0" applyFont="1" applyFill="1" applyBorder="1" applyAlignment="1">
      <alignment horizontal="center"/>
    </xf>
    <xf numFmtId="0" fontId="17" fillId="3" borderId="14" xfId="0" applyFont="1" applyFill="1" applyBorder="1"/>
    <xf numFmtId="0" fontId="17" fillId="3" borderId="37" xfId="0" applyFont="1" applyFill="1" applyBorder="1"/>
    <xf numFmtId="0" fontId="33" fillId="2" borderId="0" xfId="0" applyFont="1" applyFill="1"/>
    <xf numFmtId="0" fontId="33" fillId="2" borderId="0" xfId="0" applyFont="1" applyFill="1" applyProtection="1">
      <protection hidden="1"/>
    </xf>
    <xf numFmtId="0" fontId="23" fillId="2" borderId="0" xfId="0" applyFont="1" applyFill="1"/>
    <xf numFmtId="0" fontId="23" fillId="2" borderId="0" xfId="0" applyFont="1" applyFill="1" applyProtection="1">
      <protection hidden="1"/>
    </xf>
    <xf numFmtId="0" fontId="32" fillId="2" borderId="0" xfId="0" applyFont="1" applyFill="1" applyProtection="1">
      <protection hidden="1"/>
    </xf>
    <xf numFmtId="0" fontId="32" fillId="2" borderId="0" xfId="0" applyFont="1" applyFill="1"/>
    <xf numFmtId="0" fontId="32" fillId="2" borderId="0" xfId="0" applyFont="1" applyFill="1" applyAlignment="1" applyProtection="1">
      <alignment horizontal="left" vertical="center"/>
      <protection hidden="1"/>
    </xf>
    <xf numFmtId="49" fontId="32" fillId="2" borderId="0" xfId="0" applyNumberFormat="1" applyFont="1" applyFill="1" applyAlignment="1">
      <alignment horizontal="left"/>
    </xf>
    <xf numFmtId="0" fontId="43" fillId="2" borderId="0" xfId="0" applyFont="1" applyFill="1"/>
    <xf numFmtId="0" fontId="3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2" fontId="32" fillId="2" borderId="0" xfId="0" applyNumberFormat="1" applyFont="1" applyFill="1" applyAlignment="1">
      <alignment horizontal="center"/>
    </xf>
    <xf numFmtId="0" fontId="44" fillId="2" borderId="0" xfId="0" applyFont="1" applyFill="1" applyAlignment="1">
      <alignment horizontal="left"/>
    </xf>
    <xf numFmtId="0" fontId="44" fillId="2" borderId="0" xfId="0" applyFont="1" applyFill="1"/>
    <xf numFmtId="0" fontId="27" fillId="2" borderId="0" xfId="0" applyFont="1" applyFill="1"/>
    <xf numFmtId="0" fontId="21" fillId="2" borderId="0" xfId="0" applyFont="1" applyFill="1"/>
    <xf numFmtId="0" fontId="22" fillId="3" borderId="25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2" fillId="3" borderId="24" xfId="0" applyFont="1" applyFill="1" applyBorder="1" applyAlignment="1">
      <alignment horizontal="center"/>
    </xf>
    <xf numFmtId="0" fontId="34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0" fillId="3" borderId="38" xfId="0" applyFont="1" applyFill="1" applyBorder="1" applyAlignment="1">
      <alignment horizontal="center"/>
    </xf>
    <xf numFmtId="0" fontId="20" fillId="2" borderId="3" xfId="0" applyFont="1" applyFill="1" applyBorder="1" applyAlignment="1" applyProtection="1">
      <alignment horizontal="left"/>
      <protection locked="0"/>
    </xf>
    <xf numFmtId="0" fontId="20" fillId="2" borderId="4" xfId="0" applyFont="1" applyFill="1" applyBorder="1" applyAlignment="1" applyProtection="1">
      <alignment horizontal="left"/>
      <protection locked="0"/>
    </xf>
    <xf numFmtId="0" fontId="20" fillId="2" borderId="1" xfId="0" applyFont="1" applyFill="1" applyBorder="1" applyAlignment="1" applyProtection="1">
      <alignment horizontal="center"/>
      <protection locked="0"/>
    </xf>
    <xf numFmtId="0" fontId="20" fillId="4" borderId="2" xfId="0" applyFont="1" applyFill="1" applyBorder="1" applyAlignment="1" applyProtection="1">
      <alignment horizontal="center"/>
      <protection locked="0"/>
    </xf>
    <xf numFmtId="2" fontId="20" fillId="3" borderId="24" xfId="0" applyNumberFormat="1" applyFont="1" applyFill="1" applyBorder="1" applyAlignment="1">
      <alignment horizontal="center"/>
    </xf>
    <xf numFmtId="0" fontId="24" fillId="2" borderId="1" xfId="0" applyFont="1" applyFill="1" applyBorder="1" applyAlignment="1" applyProtection="1">
      <alignment horizontal="center"/>
      <protection locked="0"/>
    </xf>
    <xf numFmtId="0" fontId="24" fillId="2" borderId="16" xfId="0" applyFont="1" applyFill="1" applyBorder="1" applyAlignment="1" applyProtection="1">
      <alignment horizontal="center"/>
      <protection locked="0"/>
    </xf>
    <xf numFmtId="0" fontId="20" fillId="4" borderId="18" xfId="0" applyFont="1" applyFill="1" applyBorder="1" applyAlignment="1" applyProtection="1">
      <alignment horizontal="center"/>
      <protection locked="0"/>
    </xf>
    <xf numFmtId="0" fontId="47" fillId="2" borderId="0" xfId="0" applyFont="1" applyFill="1"/>
    <xf numFmtId="0" fontId="48" fillId="2" borderId="0" xfId="0" applyFont="1" applyFill="1" applyAlignment="1">
      <alignment horizontal="center"/>
    </xf>
    <xf numFmtId="0" fontId="44" fillId="2" borderId="0" xfId="0" applyFont="1" applyFill="1" applyAlignment="1">
      <alignment horizontal="center"/>
    </xf>
    <xf numFmtId="0" fontId="34" fillId="2" borderId="0" xfId="0" applyFont="1" applyFill="1"/>
    <xf numFmtId="0" fontId="22" fillId="3" borderId="1" xfId="0" applyFont="1" applyFill="1" applyBorder="1"/>
    <xf numFmtId="0" fontId="22" fillId="3" borderId="24" xfId="0" applyFont="1" applyFill="1" applyBorder="1"/>
    <xf numFmtId="0" fontId="24" fillId="3" borderId="38" xfId="0" applyFont="1" applyFill="1" applyBorder="1" applyAlignment="1">
      <alignment horizontal="center"/>
    </xf>
    <xf numFmtId="0" fontId="20" fillId="4" borderId="1" xfId="0" applyFont="1" applyFill="1" applyBorder="1" applyAlignment="1" applyProtection="1">
      <alignment horizontal="center"/>
      <protection locked="0"/>
    </xf>
    <xf numFmtId="0" fontId="20" fillId="2" borderId="16" xfId="0" applyFont="1" applyFill="1" applyBorder="1" applyAlignment="1" applyProtection="1">
      <alignment horizontal="center"/>
      <protection locked="0"/>
    </xf>
    <xf numFmtId="0" fontId="20" fillId="4" borderId="16" xfId="0" applyFont="1" applyFill="1" applyBorder="1" applyAlignment="1" applyProtection="1">
      <alignment horizontal="center"/>
      <protection locked="0"/>
    </xf>
    <xf numFmtId="2" fontId="20" fillId="3" borderId="27" xfId="0" applyNumberFormat="1" applyFont="1" applyFill="1" applyBorder="1" applyAlignment="1">
      <alignment horizontal="center"/>
    </xf>
    <xf numFmtId="0" fontId="22" fillId="3" borderId="2" xfId="0" applyFont="1" applyFill="1" applyBorder="1"/>
    <xf numFmtId="0" fontId="20" fillId="2" borderId="1" xfId="0" applyFont="1" applyFill="1" applyBorder="1" applyAlignment="1" applyProtection="1">
      <alignment horizontal="center" vertical="top"/>
      <protection locked="0"/>
    </xf>
    <xf numFmtId="0" fontId="20" fillId="2" borderId="16" xfId="0" applyFont="1" applyFill="1" applyBorder="1" applyAlignment="1" applyProtection="1">
      <alignment horizontal="center" vertical="top"/>
      <protection locked="0"/>
    </xf>
    <xf numFmtId="0" fontId="20" fillId="2" borderId="0" xfId="0" applyFont="1" applyFill="1" applyAlignment="1">
      <alignment horizontal="center"/>
    </xf>
    <xf numFmtId="1" fontId="20" fillId="2" borderId="0" xfId="0" applyNumberFormat="1" applyFont="1" applyFill="1" applyAlignment="1">
      <alignment horizontal="center"/>
    </xf>
    <xf numFmtId="1" fontId="20" fillId="3" borderId="0" xfId="0" applyNumberFormat="1" applyFont="1" applyFill="1" applyAlignment="1">
      <alignment horizontal="left"/>
    </xf>
    <xf numFmtId="0" fontId="33" fillId="2" borderId="0" xfId="0" applyFont="1" applyFill="1" applyAlignment="1">
      <alignment horizontal="right"/>
    </xf>
    <xf numFmtId="0" fontId="33" fillId="2" borderId="0" xfId="0" applyFont="1" applyFill="1" applyAlignment="1">
      <alignment horizontal="center"/>
    </xf>
    <xf numFmtId="0" fontId="24" fillId="2" borderId="0" xfId="0" applyFont="1" applyFill="1" applyAlignment="1">
      <alignment horizontal="left"/>
    </xf>
    <xf numFmtId="0" fontId="50" fillId="2" borderId="0" xfId="0" applyFont="1" applyFill="1"/>
    <xf numFmtId="0" fontId="24" fillId="2" borderId="0" xfId="0" applyFont="1" applyFill="1" applyAlignment="1">
      <alignment horizontal="center"/>
    </xf>
    <xf numFmtId="0" fontId="50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4" fillId="3" borderId="55" xfId="0" applyFont="1" applyFill="1" applyBorder="1" applyAlignment="1">
      <alignment horizontal="center"/>
    </xf>
    <xf numFmtId="0" fontId="34" fillId="3" borderId="11" xfId="0" applyFont="1" applyFill="1" applyBorder="1"/>
    <xf numFmtId="0" fontId="34" fillId="3" borderId="54" xfId="0" applyFont="1" applyFill="1" applyBorder="1" applyAlignment="1">
      <alignment horizontal="center"/>
    </xf>
    <xf numFmtId="0" fontId="24" fillId="3" borderId="40" xfId="0" applyFont="1" applyFill="1" applyBorder="1" applyAlignment="1">
      <alignment horizontal="center"/>
    </xf>
    <xf numFmtId="0" fontId="24" fillId="4" borderId="16" xfId="0" applyFont="1" applyFill="1" applyBorder="1" applyAlignment="1" applyProtection="1">
      <alignment vertical="top"/>
      <protection locked="0"/>
    </xf>
    <xf numFmtId="4" fontId="24" fillId="2" borderId="0" xfId="0" applyNumberFormat="1" applyFont="1" applyFill="1"/>
    <xf numFmtId="0" fontId="34" fillId="3" borderId="38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4" fillId="3" borderId="3" xfId="0" applyFont="1" applyFill="1" applyBorder="1"/>
    <xf numFmtId="0" fontId="34" fillId="3" borderId="24" xfId="0" applyFont="1" applyFill="1" applyBorder="1" applyAlignment="1">
      <alignment horizontal="center"/>
    </xf>
    <xf numFmtId="0" fontId="24" fillId="3" borderId="3" xfId="0" applyFont="1" applyFill="1" applyBorder="1" applyAlignment="1">
      <alignment horizontal="right"/>
    </xf>
    <xf numFmtId="0" fontId="24" fillId="2" borderId="3" xfId="0" applyFont="1" applyFill="1" applyBorder="1" applyAlignment="1" applyProtection="1">
      <alignment horizontal="center"/>
      <protection locked="0"/>
    </xf>
    <xf numFmtId="0" fontId="24" fillId="3" borderId="4" xfId="0" applyFont="1" applyFill="1" applyBorder="1"/>
    <xf numFmtId="0" fontId="24" fillId="4" borderId="3" xfId="0" applyFont="1" applyFill="1" applyBorder="1" applyAlignment="1" applyProtection="1">
      <alignment horizontal="center"/>
      <protection locked="0"/>
    </xf>
    <xf numFmtId="2" fontId="24" fillId="3" borderId="24" xfId="0" applyNumberFormat="1" applyFont="1" applyFill="1" applyBorder="1" applyAlignment="1">
      <alignment horizontal="center"/>
    </xf>
    <xf numFmtId="0" fontId="24" fillId="3" borderId="14" xfId="0" applyFont="1" applyFill="1" applyBorder="1" applyAlignment="1">
      <alignment horizontal="right"/>
    </xf>
    <xf numFmtId="0" fontId="24" fillId="2" borderId="14" xfId="0" applyFont="1" applyFill="1" applyBorder="1" applyAlignment="1" applyProtection="1">
      <alignment horizontal="center"/>
      <protection locked="0"/>
    </xf>
    <xf numFmtId="0" fontId="24" fillId="3" borderId="15" xfId="0" applyFont="1" applyFill="1" applyBorder="1"/>
    <xf numFmtId="0" fontId="24" fillId="4" borderId="14" xfId="0" applyFont="1" applyFill="1" applyBorder="1" applyAlignment="1" applyProtection="1">
      <alignment horizontal="center"/>
      <protection locked="0"/>
    </xf>
    <xf numFmtId="2" fontId="24" fillId="3" borderId="51" xfId="0" applyNumberFormat="1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 vertical="top" wrapText="1"/>
    </xf>
    <xf numFmtId="0" fontId="24" fillId="2" borderId="53" xfId="0" applyFont="1" applyFill="1" applyBorder="1" applyAlignment="1" applyProtection="1">
      <alignment horizontal="left"/>
      <protection locked="0"/>
    </xf>
    <xf numFmtId="0" fontId="24" fillId="3" borderId="10" xfId="0" applyFont="1" applyFill="1" applyBorder="1" applyAlignment="1">
      <alignment horizontal="center"/>
    </xf>
    <xf numFmtId="0" fontId="24" fillId="2" borderId="11" xfId="0" applyFont="1" applyFill="1" applyBorder="1" applyAlignment="1" applyProtection="1">
      <alignment horizontal="center"/>
      <protection locked="0"/>
    </xf>
    <xf numFmtId="0" fontId="24" fillId="3" borderId="12" xfId="0" applyFont="1" applyFill="1" applyBorder="1" applyAlignment="1">
      <alignment horizontal="left"/>
    </xf>
    <xf numFmtId="0" fontId="24" fillId="4" borderId="11" xfId="0" applyFont="1" applyFill="1" applyBorder="1" applyAlignment="1" applyProtection="1">
      <alignment horizontal="center"/>
      <protection locked="0"/>
    </xf>
    <xf numFmtId="2" fontId="24" fillId="3" borderId="54" xfId="0" applyNumberFormat="1" applyFont="1" applyFill="1" applyBorder="1" applyAlignment="1">
      <alignment horizontal="center"/>
    </xf>
    <xf numFmtId="43" fontId="24" fillId="2" borderId="0" xfId="1" applyFont="1" applyFill="1"/>
    <xf numFmtId="0" fontId="24" fillId="3" borderId="40" xfId="0" applyFont="1" applyFill="1" applyBorder="1" applyAlignment="1">
      <alignment horizontal="center" vertical="top" wrapText="1"/>
    </xf>
    <xf numFmtId="0" fontId="24" fillId="2" borderId="52" xfId="0" applyFont="1" applyFill="1" applyBorder="1" applyAlignment="1" applyProtection="1">
      <alignment horizontal="left"/>
      <protection locked="0"/>
    </xf>
    <xf numFmtId="0" fontId="24" fillId="3" borderId="43" xfId="0" applyFont="1" applyFill="1" applyBorder="1" applyAlignment="1">
      <alignment horizontal="center"/>
    </xf>
    <xf numFmtId="0" fontId="24" fillId="2" borderId="17" xfId="0" applyFont="1" applyFill="1" applyBorder="1" applyAlignment="1" applyProtection="1">
      <alignment horizontal="center"/>
      <protection locked="0"/>
    </xf>
    <xf numFmtId="0" fontId="24" fillId="3" borderId="15" xfId="0" applyFont="1" applyFill="1" applyBorder="1" applyAlignment="1">
      <alignment horizontal="left"/>
    </xf>
    <xf numFmtId="0" fontId="24" fillId="4" borderId="17" xfId="0" applyFont="1" applyFill="1" applyBorder="1" applyAlignment="1" applyProtection="1">
      <alignment horizontal="center"/>
      <protection locked="0"/>
    </xf>
    <xf numFmtId="0" fontId="34" fillId="2" borderId="0" xfId="0" applyFont="1" applyFill="1" applyAlignment="1">
      <alignment horizontal="left" vertical="top" wrapText="1"/>
    </xf>
    <xf numFmtId="0" fontId="24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center"/>
      <protection locked="0"/>
    </xf>
    <xf numFmtId="0" fontId="24" fillId="2" borderId="0" xfId="0" applyFont="1" applyFill="1" applyProtection="1">
      <protection locked="0"/>
    </xf>
    <xf numFmtId="2" fontId="24" fillId="2" borderId="0" xfId="0" applyNumberFormat="1" applyFont="1" applyFill="1" applyAlignment="1">
      <alignment horizontal="center"/>
    </xf>
    <xf numFmtId="0" fontId="34" fillId="3" borderId="44" xfId="0" applyFont="1" applyFill="1" applyBorder="1" applyAlignment="1">
      <alignment horizontal="center"/>
    </xf>
    <xf numFmtId="0" fontId="24" fillId="4" borderId="53" xfId="0" applyFont="1" applyFill="1" applyBorder="1" applyAlignment="1" applyProtection="1">
      <alignment horizontal="center"/>
      <protection locked="0"/>
    </xf>
    <xf numFmtId="0" fontId="24" fillId="4" borderId="1" xfId="0" applyFont="1" applyFill="1" applyBorder="1" applyAlignment="1" applyProtection="1">
      <alignment horizontal="center"/>
      <protection locked="0"/>
    </xf>
    <xf numFmtId="0" fontId="24" fillId="4" borderId="16" xfId="0" applyFont="1" applyFill="1" applyBorder="1" applyAlignment="1" applyProtection="1">
      <alignment horizontal="center"/>
      <protection locked="0"/>
    </xf>
    <xf numFmtId="0" fontId="33" fillId="2" borderId="0" xfId="0" applyFont="1" applyFill="1" applyAlignment="1">
      <alignment horizontal="left"/>
    </xf>
    <xf numFmtId="0" fontId="47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52" fillId="2" borderId="0" xfId="0" applyFont="1" applyFill="1"/>
    <xf numFmtId="2" fontId="46" fillId="6" borderId="22" xfId="0" applyNumberFormat="1" applyFont="1" applyFill="1" applyBorder="1" applyAlignment="1">
      <alignment horizontal="center"/>
    </xf>
    <xf numFmtId="0" fontId="53" fillId="2" borderId="0" xfId="0" applyFont="1" applyFill="1"/>
    <xf numFmtId="0" fontId="22" fillId="3" borderId="3" xfId="0" applyFont="1" applyFill="1" applyBorder="1"/>
    <xf numFmtId="0" fontId="54" fillId="2" borderId="0" xfId="0" applyFont="1" applyFill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0" fillId="2" borderId="3" xfId="0" applyFont="1" applyFill="1" applyBorder="1" applyAlignment="1" applyProtection="1">
      <alignment horizontal="center" vertical="center"/>
      <protection locked="0"/>
    </xf>
    <xf numFmtId="0" fontId="20" fillId="3" borderId="4" xfId="0" applyFont="1" applyFill="1" applyBorder="1" applyAlignment="1">
      <alignment horizontal="center"/>
    </xf>
    <xf numFmtId="0" fontId="20" fillId="4" borderId="3" xfId="0" applyFont="1" applyFill="1" applyBorder="1" applyAlignment="1" applyProtection="1">
      <alignment horizontal="center"/>
      <protection locked="0"/>
    </xf>
    <xf numFmtId="0" fontId="20" fillId="3" borderId="18" xfId="0" applyFont="1" applyFill="1" applyBorder="1" applyAlignment="1">
      <alignment horizontal="center"/>
    </xf>
    <xf numFmtId="0" fontId="20" fillId="2" borderId="17" xfId="0" applyFont="1" applyFill="1" applyBorder="1" applyAlignment="1" applyProtection="1">
      <alignment horizontal="center" vertical="center"/>
      <protection locked="0"/>
    </xf>
    <xf numFmtId="0" fontId="20" fillId="3" borderId="13" xfId="0" applyFont="1" applyFill="1" applyBorder="1" applyAlignment="1">
      <alignment horizontal="center"/>
    </xf>
    <xf numFmtId="0" fontId="20" fillId="4" borderId="17" xfId="0" applyFont="1" applyFill="1" applyBorder="1" applyAlignment="1" applyProtection="1">
      <alignment horizontal="center"/>
      <protection locked="0"/>
    </xf>
    <xf numFmtId="0" fontId="20" fillId="3" borderId="4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center"/>
    </xf>
    <xf numFmtId="0" fontId="20" fillId="2" borderId="11" xfId="0" applyFont="1" applyFill="1" applyBorder="1" applyAlignment="1" applyProtection="1">
      <alignment horizontal="center" vertical="center"/>
      <protection locked="0"/>
    </xf>
    <xf numFmtId="0" fontId="20" fillId="3" borderId="12" xfId="0" applyFont="1" applyFill="1" applyBorder="1" applyAlignment="1">
      <alignment horizontal="left"/>
    </xf>
    <xf numFmtId="0" fontId="20" fillId="3" borderId="13" xfId="0" applyFont="1" applyFill="1" applyBorder="1" applyAlignment="1">
      <alignment horizontal="left"/>
    </xf>
    <xf numFmtId="0" fontId="45" fillId="2" borderId="0" xfId="0" applyFont="1" applyFill="1" applyAlignment="1">
      <alignment horizontal="center" vertical="center"/>
    </xf>
    <xf numFmtId="0" fontId="45" fillId="2" borderId="0" xfId="0" applyFont="1" applyFill="1" applyAlignment="1">
      <alignment horizontal="center"/>
    </xf>
    <xf numFmtId="0" fontId="21" fillId="6" borderId="32" xfId="0" applyFont="1" applyFill="1" applyBorder="1"/>
    <xf numFmtId="0" fontId="21" fillId="6" borderId="19" xfId="0" applyFont="1" applyFill="1" applyBorder="1"/>
    <xf numFmtId="0" fontId="21" fillId="6" borderId="19" xfId="0" applyFont="1" applyFill="1" applyBorder="1" applyAlignment="1">
      <alignment horizontal="right"/>
    </xf>
    <xf numFmtId="2" fontId="21" fillId="6" borderId="29" xfId="0" applyNumberFormat="1" applyFont="1" applyFill="1" applyBorder="1" applyAlignment="1">
      <alignment horizontal="center"/>
    </xf>
    <xf numFmtId="0" fontId="21" fillId="6" borderId="30" xfId="0" applyFont="1" applyFill="1" applyBorder="1" applyAlignment="1">
      <alignment horizontal="right"/>
    </xf>
    <xf numFmtId="2" fontId="26" fillId="6" borderId="19" xfId="0" applyNumberFormat="1" applyFont="1" applyFill="1" applyBorder="1" applyAlignment="1">
      <alignment horizontal="center"/>
    </xf>
    <xf numFmtId="0" fontId="26" fillId="6" borderId="35" xfId="0" applyFont="1" applyFill="1" applyBorder="1"/>
    <xf numFmtId="0" fontId="43" fillId="2" borderId="0" xfId="0" applyFont="1" applyFill="1" applyAlignment="1">
      <alignment horizontal="center"/>
    </xf>
    <xf numFmtId="2" fontId="22" fillId="5" borderId="29" xfId="0" applyNumberFormat="1" applyFont="1" applyFill="1" applyBorder="1" applyAlignment="1">
      <alignment horizontal="center"/>
    </xf>
    <xf numFmtId="0" fontId="22" fillId="5" borderId="30" xfId="0" applyFont="1" applyFill="1" applyBorder="1" applyAlignment="1">
      <alignment horizontal="center"/>
    </xf>
    <xf numFmtId="2" fontId="55" fillId="4" borderId="29" xfId="0" applyNumberFormat="1" applyFont="1" applyFill="1" applyBorder="1" applyAlignment="1">
      <alignment horizontal="center"/>
    </xf>
    <xf numFmtId="0" fontId="55" fillId="4" borderId="30" xfId="0" applyFont="1" applyFill="1" applyBorder="1"/>
    <xf numFmtId="0" fontId="23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 vertical="center"/>
    </xf>
    <xf numFmtId="0" fontId="22" fillId="3" borderId="40" xfId="0" applyFont="1" applyFill="1" applyBorder="1" applyAlignment="1">
      <alignment horizontal="center"/>
    </xf>
    <xf numFmtId="0" fontId="22" fillId="3" borderId="16" xfId="0" applyFont="1" applyFill="1" applyBorder="1" applyAlignment="1">
      <alignment horizontal="center"/>
    </xf>
    <xf numFmtId="0" fontId="22" fillId="3" borderId="18" xfId="0" applyFont="1" applyFill="1" applyBorder="1" applyAlignment="1">
      <alignment horizontal="center"/>
    </xf>
    <xf numFmtId="2" fontId="23" fillId="2" borderId="0" xfId="0" applyNumberFormat="1" applyFont="1" applyFill="1" applyAlignment="1">
      <alignment horizontal="center"/>
    </xf>
    <xf numFmtId="0" fontId="48" fillId="2" borderId="0" xfId="0" applyFont="1" applyFill="1" applyAlignment="1">
      <alignment horizontal="left"/>
    </xf>
    <xf numFmtId="0" fontId="20" fillId="3" borderId="55" xfId="0" applyFont="1" applyFill="1" applyBorder="1" applyAlignment="1">
      <alignment horizontal="center"/>
    </xf>
    <xf numFmtId="0" fontId="20" fillId="4" borderId="11" xfId="0" applyFont="1" applyFill="1" applyBorder="1" applyAlignment="1" applyProtection="1">
      <alignment horizontal="center"/>
      <protection locked="0"/>
    </xf>
    <xf numFmtId="0" fontId="56" fillId="3" borderId="54" xfId="0" applyFont="1" applyFill="1" applyBorder="1" applyAlignment="1">
      <alignment horizontal="center"/>
    </xf>
    <xf numFmtId="187" fontId="32" fillId="2" borderId="0" xfId="0" applyNumberFormat="1" applyFont="1" applyFill="1" applyAlignment="1">
      <alignment horizontal="center"/>
    </xf>
    <xf numFmtId="0" fontId="24" fillId="3" borderId="24" xfId="0" applyFont="1" applyFill="1" applyBorder="1" applyAlignment="1">
      <alignment horizontal="center"/>
    </xf>
    <xf numFmtId="0" fontId="56" fillId="3" borderId="24" xfId="0" applyFont="1" applyFill="1" applyBorder="1" applyAlignment="1">
      <alignment horizontal="center"/>
    </xf>
    <xf numFmtId="0" fontId="24" fillId="3" borderId="55" xfId="0" applyFont="1" applyFill="1" applyBorder="1" applyAlignment="1">
      <alignment horizontal="center"/>
    </xf>
    <xf numFmtId="0" fontId="56" fillId="3" borderId="27" xfId="0" applyFont="1" applyFill="1" applyBorder="1" applyAlignment="1">
      <alignment horizontal="center"/>
    </xf>
    <xf numFmtId="0" fontId="56" fillId="3" borderId="34" xfId="0" applyFont="1" applyFill="1" applyBorder="1" applyAlignment="1">
      <alignment horizontal="center"/>
    </xf>
    <xf numFmtId="0" fontId="20" fillId="3" borderId="44" xfId="0" applyFont="1" applyFill="1" applyBorder="1" applyAlignment="1">
      <alignment horizontal="center"/>
    </xf>
    <xf numFmtId="0" fontId="56" fillId="3" borderId="31" xfId="0" applyFont="1" applyFill="1" applyBorder="1" applyAlignment="1">
      <alignment horizontal="center"/>
    </xf>
    <xf numFmtId="0" fontId="20" fillId="3" borderId="38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/>
    </xf>
    <xf numFmtId="0" fontId="48" fillId="2" borderId="0" xfId="0" applyFont="1" applyFill="1" applyAlignment="1">
      <alignment horizontal="right"/>
    </xf>
    <xf numFmtId="0" fontId="20" fillId="0" borderId="59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6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44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45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10" borderId="62" xfId="0" applyFont="1" applyFill="1" applyBorder="1" applyAlignment="1" applyProtection="1">
      <alignment horizontal="center" vertical="center"/>
      <protection locked="0"/>
    </xf>
    <xf numFmtId="0" fontId="20" fillId="10" borderId="45" xfId="0" applyFont="1" applyFill="1" applyBorder="1" applyAlignment="1" applyProtection="1">
      <alignment horizontal="center" vertical="center"/>
      <protection locked="0"/>
    </xf>
    <xf numFmtId="4" fontId="24" fillId="3" borderId="27" xfId="0" applyNumberFormat="1" applyFont="1" applyFill="1" applyBorder="1" applyAlignment="1">
      <alignment horizontal="center" vertical="center"/>
    </xf>
    <xf numFmtId="4" fontId="46" fillId="5" borderId="22" xfId="1" applyNumberFormat="1" applyFont="1" applyFill="1" applyBorder="1" applyAlignment="1">
      <alignment horizontal="center"/>
    </xf>
    <xf numFmtId="2" fontId="20" fillId="11" borderId="1" xfId="0" applyNumberFormat="1" applyFont="1" applyFill="1" applyBorder="1"/>
    <xf numFmtId="2" fontId="24" fillId="11" borderId="1" xfId="0" applyNumberFormat="1" applyFont="1" applyFill="1" applyBorder="1" applyAlignment="1">
      <alignment horizontal="center"/>
    </xf>
    <xf numFmtId="0" fontId="20" fillId="12" borderId="57" xfId="0" applyFont="1" applyFill="1" applyBorder="1" applyAlignment="1">
      <alignment horizontal="left"/>
    </xf>
    <xf numFmtId="0" fontId="20" fillId="12" borderId="3" xfId="0" applyFont="1" applyFill="1" applyBorder="1" applyAlignment="1">
      <alignment horizontal="left"/>
    </xf>
    <xf numFmtId="2" fontId="20" fillId="12" borderId="1" xfId="0" applyNumberFormat="1" applyFont="1" applyFill="1" applyBorder="1"/>
    <xf numFmtId="2" fontId="22" fillId="11" borderId="1" xfId="1" applyNumberFormat="1" applyFont="1" applyFill="1" applyBorder="1" applyAlignment="1">
      <alignment horizontal="center"/>
    </xf>
    <xf numFmtId="0" fontId="20" fillId="13" borderId="2" xfId="0" applyFont="1" applyFill="1" applyBorder="1" applyAlignment="1" applyProtection="1">
      <alignment horizontal="center"/>
      <protection locked="0"/>
    </xf>
    <xf numFmtId="0" fontId="20" fillId="4" borderId="57" xfId="0" applyFont="1" applyFill="1" applyBorder="1" applyAlignment="1" applyProtection="1">
      <alignment horizontal="center"/>
      <protection locked="0"/>
    </xf>
    <xf numFmtId="0" fontId="21" fillId="5" borderId="22" xfId="0" applyFont="1" applyFill="1" applyBorder="1" applyAlignment="1">
      <alignment horizontal="left"/>
    </xf>
    <xf numFmtId="0" fontId="20" fillId="0" borderId="38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12" borderId="4" xfId="0" applyFont="1" applyFill="1" applyBorder="1" applyAlignment="1">
      <alignment horizontal="left"/>
    </xf>
    <xf numFmtId="0" fontId="22" fillId="3" borderId="38" xfId="0" applyFont="1" applyFill="1" applyBorder="1" applyAlignment="1">
      <alignment horizontal="center"/>
    </xf>
    <xf numFmtId="0" fontId="20" fillId="13" borderId="18" xfId="0" applyFont="1" applyFill="1" applyBorder="1" applyAlignment="1" applyProtection="1">
      <alignment horizontal="center"/>
      <protection locked="0"/>
    </xf>
    <xf numFmtId="0" fontId="62" fillId="2" borderId="0" xfId="0" applyFont="1" applyFill="1"/>
    <xf numFmtId="0" fontId="57" fillId="2" borderId="0" xfId="0" applyFont="1" applyFill="1"/>
    <xf numFmtId="0" fontId="21" fillId="14" borderId="0" xfId="0" applyFont="1" applyFill="1" applyAlignment="1">
      <alignment horizontal="left"/>
    </xf>
    <xf numFmtId="0" fontId="21" fillId="14" borderId="0" xfId="0" applyFont="1" applyFill="1" applyAlignment="1">
      <alignment horizontal="center"/>
    </xf>
    <xf numFmtId="0" fontId="30" fillId="3" borderId="8" xfId="0" applyFont="1" applyFill="1" applyBorder="1"/>
    <xf numFmtId="0" fontId="30" fillId="3" borderId="0" xfId="0" applyFont="1" applyFill="1"/>
    <xf numFmtId="0" fontId="30" fillId="3" borderId="9" xfId="0" applyFont="1" applyFill="1" applyBorder="1"/>
    <xf numFmtId="0" fontId="30" fillId="3" borderId="43" xfId="0" applyFont="1" applyFill="1" applyBorder="1" applyAlignment="1">
      <alignment vertical="center" wrapText="1"/>
    </xf>
    <xf numFmtId="0" fontId="30" fillId="3" borderId="14" xfId="0" applyFont="1" applyFill="1" applyBorder="1" applyAlignment="1">
      <alignment vertical="center" wrapText="1"/>
    </xf>
    <xf numFmtId="1" fontId="30" fillId="3" borderId="8" xfId="0" applyNumberFormat="1" applyFont="1" applyFill="1" applyBorder="1"/>
    <xf numFmtId="1" fontId="30" fillId="3" borderId="0" xfId="0" applyNumberFormat="1" applyFont="1" applyFill="1"/>
    <xf numFmtId="0" fontId="30" fillId="3" borderId="14" xfId="0" applyFont="1" applyFill="1" applyBorder="1"/>
    <xf numFmtId="0" fontId="30" fillId="3" borderId="15" xfId="0" applyFont="1" applyFill="1" applyBorder="1"/>
    <xf numFmtId="0" fontId="21" fillId="5" borderId="32" xfId="0" applyFont="1" applyFill="1" applyBorder="1" applyAlignment="1">
      <alignment horizontal="left"/>
    </xf>
    <xf numFmtId="2" fontId="46" fillId="5" borderId="29" xfId="0" applyNumberFormat="1" applyFont="1" applyFill="1" applyBorder="1" applyAlignment="1">
      <alignment horizontal="center"/>
    </xf>
    <xf numFmtId="2" fontId="22" fillId="15" borderId="22" xfId="0" applyNumberFormat="1" applyFont="1" applyFill="1" applyBorder="1" applyAlignment="1">
      <alignment horizontal="center"/>
    </xf>
    <xf numFmtId="2" fontId="46" fillId="5" borderId="19" xfId="0" applyNumberFormat="1" applyFont="1" applyFill="1" applyBorder="1" applyAlignment="1">
      <alignment horizontal="center"/>
    </xf>
    <xf numFmtId="0" fontId="22" fillId="15" borderId="21" xfId="0" applyFont="1" applyFill="1" applyBorder="1"/>
    <xf numFmtId="0" fontId="22" fillId="15" borderId="22" xfId="0" applyFont="1" applyFill="1" applyBorder="1"/>
    <xf numFmtId="0" fontId="57" fillId="2" borderId="0" xfId="0" applyFont="1" applyFill="1" applyAlignment="1">
      <alignment horizontal="center"/>
    </xf>
    <xf numFmtId="0" fontId="24" fillId="3" borderId="40" xfId="0" applyFont="1" applyFill="1" applyBorder="1" applyAlignment="1">
      <alignment horizontal="center" vertical="top"/>
    </xf>
    <xf numFmtId="0" fontId="34" fillId="15" borderId="21" xfId="0" applyFont="1" applyFill="1" applyBorder="1"/>
    <xf numFmtId="0" fontId="34" fillId="15" borderId="22" xfId="0" applyFont="1" applyFill="1" applyBorder="1"/>
    <xf numFmtId="2" fontId="34" fillId="15" borderId="22" xfId="0" applyNumberFormat="1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 vertical="top" wrapText="1"/>
    </xf>
    <xf numFmtId="0" fontId="24" fillId="2" borderId="3" xfId="0" applyFont="1" applyFill="1" applyBorder="1" applyAlignment="1">
      <alignment horizontal="center" vertical="top" wrapText="1"/>
    </xf>
    <xf numFmtId="0" fontId="24" fillId="2" borderId="17" xfId="0" applyFont="1" applyFill="1" applyBorder="1" applyAlignment="1">
      <alignment horizontal="center" vertical="top" wrapText="1"/>
    </xf>
    <xf numFmtId="0" fontId="24" fillId="2" borderId="14" xfId="0" applyFont="1" applyFill="1" applyBorder="1" applyAlignment="1">
      <alignment horizontal="center" vertical="top" wrapText="1"/>
    </xf>
    <xf numFmtId="0" fontId="24" fillId="2" borderId="5" xfId="0" applyFont="1" applyFill="1" applyBorder="1" applyAlignment="1">
      <alignment vertical="top"/>
    </xf>
    <xf numFmtId="0" fontId="24" fillId="4" borderId="45" xfId="0" applyFont="1" applyFill="1" applyBorder="1" applyAlignment="1" applyProtection="1">
      <alignment vertical="top"/>
      <protection locked="0"/>
    </xf>
    <xf numFmtId="4" fontId="24" fillId="3" borderId="31" xfId="0" applyNumberFormat="1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vertical="top"/>
    </xf>
    <xf numFmtId="0" fontId="34" fillId="3" borderId="42" xfId="0" applyFont="1" applyFill="1" applyBorder="1" applyAlignment="1">
      <alignment horizontal="center"/>
    </xf>
    <xf numFmtId="0" fontId="34" fillId="3" borderId="22" xfId="0" applyFont="1" applyFill="1" applyBorder="1"/>
    <xf numFmtId="0" fontId="34" fillId="3" borderId="34" xfId="0" applyFont="1" applyFill="1" applyBorder="1" applyAlignment="1">
      <alignment horizontal="center"/>
    </xf>
    <xf numFmtId="2" fontId="29" fillId="0" borderId="41" xfId="0" applyNumberFormat="1" applyFont="1" applyBorder="1" applyAlignment="1">
      <alignment horizontal="center"/>
    </xf>
    <xf numFmtId="2" fontId="34" fillId="11" borderId="39" xfId="0" applyNumberFormat="1" applyFont="1" applyFill="1" applyBorder="1" applyAlignment="1">
      <alignment horizontal="center"/>
    </xf>
    <xf numFmtId="0" fontId="22" fillId="10" borderId="16" xfId="0" applyFont="1" applyFill="1" applyBorder="1" applyAlignment="1">
      <alignment horizontal="center"/>
    </xf>
    <xf numFmtId="0" fontId="20" fillId="10" borderId="1" xfId="0" applyFont="1" applyFill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  <xf numFmtId="0" fontId="63" fillId="0" borderId="0" xfId="0" pivotButton="1" applyFont="1"/>
    <xf numFmtId="0" fontId="63" fillId="0" borderId="0" xfId="0" applyFont="1"/>
    <xf numFmtId="0" fontId="63" fillId="0" borderId="0" xfId="0" applyFont="1" applyAlignment="1">
      <alignment horizontal="left"/>
    </xf>
    <xf numFmtId="10" fontId="63" fillId="0" borderId="0" xfId="0" applyNumberFormat="1" applyFont="1"/>
    <xf numFmtId="0" fontId="32" fillId="2" borderId="0" xfId="0" applyFont="1" applyFill="1" applyAlignment="1">
      <alignment horizontal="left"/>
    </xf>
    <xf numFmtId="0" fontId="39" fillId="2" borderId="0" xfId="0" applyFont="1" applyFill="1" applyAlignment="1" applyProtection="1">
      <alignment horizontal="center"/>
      <protection locked="0"/>
    </xf>
    <xf numFmtId="0" fontId="35" fillId="8" borderId="28" xfId="0" applyFont="1" applyFill="1" applyBorder="1" applyAlignment="1">
      <alignment horizontal="center"/>
    </xf>
    <xf numFmtId="0" fontId="35" fillId="8" borderId="29" xfId="0" applyFont="1" applyFill="1" applyBorder="1" applyAlignment="1">
      <alignment horizontal="center"/>
    </xf>
    <xf numFmtId="0" fontId="35" fillId="8" borderId="30" xfId="0" applyFont="1" applyFill="1" applyBorder="1" applyAlignment="1">
      <alignment horizontal="center"/>
    </xf>
    <xf numFmtId="0" fontId="39" fillId="2" borderId="36" xfId="0" applyFont="1" applyFill="1" applyBorder="1" applyAlignment="1" applyProtection="1">
      <alignment horizontal="center"/>
      <protection locked="0"/>
    </xf>
    <xf numFmtId="0" fontId="16" fillId="3" borderId="0" xfId="0" applyFont="1" applyFill="1" applyAlignment="1">
      <alignment horizontal="center"/>
    </xf>
    <xf numFmtId="0" fontId="16" fillId="3" borderId="25" xfId="0" applyFont="1" applyFill="1" applyBorder="1" applyAlignment="1">
      <alignment horizontal="right"/>
    </xf>
    <xf numFmtId="0" fontId="16" fillId="3" borderId="0" xfId="0" applyFont="1" applyFill="1" applyAlignment="1">
      <alignment horizontal="right"/>
    </xf>
    <xf numFmtId="0" fontId="41" fillId="2" borderId="0" xfId="0" applyFont="1" applyFill="1" applyAlignment="1" applyProtection="1">
      <alignment horizontal="center"/>
      <protection locked="0"/>
    </xf>
    <xf numFmtId="0" fontId="58" fillId="0" borderId="0" xfId="0" applyFont="1" applyAlignment="1">
      <alignment horizontal="center"/>
    </xf>
    <xf numFmtId="0" fontId="61" fillId="2" borderId="0" xfId="0" applyFont="1" applyFill="1" applyAlignment="1">
      <alignment horizontal="center"/>
    </xf>
    <xf numFmtId="0" fontId="44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right"/>
    </xf>
    <xf numFmtId="0" fontId="44" fillId="2" borderId="46" xfId="0" applyFont="1" applyFill="1" applyBorder="1" applyAlignment="1">
      <alignment horizontal="center"/>
    </xf>
    <xf numFmtId="0" fontId="44" fillId="2" borderId="19" xfId="0" applyFont="1" applyFill="1" applyBorder="1" applyAlignment="1">
      <alignment horizontal="center"/>
    </xf>
    <xf numFmtId="0" fontId="44" fillId="2" borderId="20" xfId="0" applyFont="1" applyFill="1" applyBorder="1" applyAlignment="1">
      <alignment horizontal="center"/>
    </xf>
    <xf numFmtId="0" fontId="22" fillId="3" borderId="2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45" fillId="7" borderId="47" xfId="0" applyFont="1" applyFill="1" applyBorder="1" applyAlignment="1">
      <alignment horizontal="center"/>
    </xf>
    <xf numFmtId="0" fontId="45" fillId="7" borderId="48" xfId="0" applyFont="1" applyFill="1" applyBorder="1" applyAlignment="1">
      <alignment horizontal="center"/>
    </xf>
    <xf numFmtId="0" fontId="45" fillId="7" borderId="49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left" vertical="top" wrapText="1"/>
    </xf>
    <xf numFmtId="0" fontId="20" fillId="3" borderId="6" xfId="0" applyFont="1" applyFill="1" applyBorder="1" applyAlignment="1">
      <alignment horizontal="left" vertical="top" wrapText="1"/>
    </xf>
    <xf numFmtId="0" fontId="20" fillId="3" borderId="7" xfId="0" applyFont="1" applyFill="1" applyBorder="1" applyAlignment="1">
      <alignment horizontal="left" vertical="top" wrapText="1"/>
    </xf>
    <xf numFmtId="0" fontId="20" fillId="3" borderId="8" xfId="0" applyFont="1" applyFill="1" applyBorder="1" applyAlignment="1">
      <alignment horizontal="left" vertical="top" wrapText="1"/>
    </xf>
    <xf numFmtId="0" fontId="20" fillId="3" borderId="0" xfId="0" applyFont="1" applyFill="1" applyAlignment="1">
      <alignment horizontal="left" vertical="top" wrapText="1"/>
    </xf>
    <xf numFmtId="0" fontId="20" fillId="3" borderId="9" xfId="0" applyFont="1" applyFill="1" applyBorder="1" applyAlignment="1">
      <alignment horizontal="left" vertical="top" wrapText="1"/>
    </xf>
    <xf numFmtId="0" fontId="20" fillId="3" borderId="43" xfId="0" applyFont="1" applyFill="1" applyBorder="1" applyAlignment="1">
      <alignment horizontal="left" vertical="top" wrapText="1"/>
    </xf>
    <xf numFmtId="0" fontId="20" fillId="3" borderId="14" xfId="0" applyFont="1" applyFill="1" applyBorder="1" applyAlignment="1">
      <alignment horizontal="left" vertical="top" wrapText="1"/>
    </xf>
    <xf numFmtId="0" fontId="20" fillId="3" borderId="15" xfId="0" applyFont="1" applyFill="1" applyBorder="1" applyAlignment="1">
      <alignment horizontal="left" vertical="top" wrapText="1"/>
    </xf>
    <xf numFmtId="0" fontId="20" fillId="2" borderId="2" xfId="0" applyFont="1" applyFill="1" applyBorder="1" applyAlignment="1" applyProtection="1">
      <alignment horizontal="left"/>
      <protection locked="0"/>
    </xf>
    <xf numFmtId="0" fontId="20" fillId="2" borderId="3" xfId="0" applyFont="1" applyFill="1" applyBorder="1" applyAlignment="1" applyProtection="1">
      <alignment horizontal="left"/>
      <protection locked="0"/>
    </xf>
    <xf numFmtId="0" fontId="20" fillId="2" borderId="4" xfId="0" applyFont="1" applyFill="1" applyBorder="1" applyAlignment="1" applyProtection="1">
      <alignment horizontal="left"/>
      <protection locked="0"/>
    </xf>
    <xf numFmtId="0" fontId="21" fillId="2" borderId="0" xfId="0" applyFont="1" applyFill="1" applyAlignment="1">
      <alignment horizontal="center"/>
    </xf>
    <xf numFmtId="0" fontId="20" fillId="2" borderId="18" xfId="0" applyFont="1" applyFill="1" applyBorder="1" applyAlignment="1" applyProtection="1">
      <alignment horizontal="left"/>
      <protection locked="0"/>
    </xf>
    <xf numFmtId="0" fontId="20" fillId="2" borderId="17" xfId="0" applyFont="1" applyFill="1" applyBorder="1" applyAlignment="1" applyProtection="1">
      <alignment horizontal="left"/>
      <protection locked="0"/>
    </xf>
    <xf numFmtId="0" fontId="20" fillId="2" borderId="13" xfId="0" applyFont="1" applyFill="1" applyBorder="1" applyAlignment="1" applyProtection="1">
      <alignment horizontal="left"/>
      <protection locked="0"/>
    </xf>
    <xf numFmtId="0" fontId="22" fillId="15" borderId="21" xfId="0" applyFont="1" applyFill="1" applyBorder="1" applyAlignment="1">
      <alignment horizontal="left"/>
    </xf>
    <xf numFmtId="0" fontId="22" fillId="15" borderId="22" xfId="0" applyFont="1" applyFill="1" applyBorder="1" applyAlignment="1">
      <alignment horizontal="left"/>
    </xf>
    <xf numFmtId="0" fontId="30" fillId="3" borderId="8" xfId="0" applyFont="1" applyFill="1" applyBorder="1" applyAlignment="1">
      <alignment horizontal="left" vertical="top"/>
    </xf>
    <xf numFmtId="0" fontId="30" fillId="3" borderId="0" xfId="0" applyFont="1" applyFill="1" applyAlignment="1">
      <alignment horizontal="left" vertical="top"/>
    </xf>
    <xf numFmtId="0" fontId="30" fillId="3" borderId="9" xfId="0" applyFont="1" applyFill="1" applyBorder="1" applyAlignment="1">
      <alignment horizontal="left" vertical="top"/>
    </xf>
    <xf numFmtId="0" fontId="30" fillId="3" borderId="43" xfId="0" applyFont="1" applyFill="1" applyBorder="1" applyAlignment="1">
      <alignment horizontal="left" vertical="top"/>
    </xf>
    <xf numFmtId="0" fontId="30" fillId="3" borderId="14" xfId="0" applyFont="1" applyFill="1" applyBorder="1" applyAlignment="1">
      <alignment horizontal="left" vertical="top"/>
    </xf>
    <xf numFmtId="0" fontId="30" fillId="3" borderId="15" xfId="0" applyFont="1" applyFill="1" applyBorder="1" applyAlignment="1">
      <alignment horizontal="left" vertical="top"/>
    </xf>
    <xf numFmtId="0" fontId="19" fillId="3" borderId="8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22" fillId="15" borderId="19" xfId="0" applyFont="1" applyFill="1" applyBorder="1" applyAlignment="1">
      <alignment horizontal="center"/>
    </xf>
    <xf numFmtId="0" fontId="22" fillId="15" borderId="35" xfId="0" applyFont="1" applyFill="1" applyBorder="1" applyAlignment="1">
      <alignment horizontal="center"/>
    </xf>
    <xf numFmtId="0" fontId="22" fillId="15" borderId="22" xfId="0" applyFont="1" applyFill="1" applyBorder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22" fillId="3" borderId="6" xfId="0" applyFont="1" applyFill="1" applyBorder="1" applyAlignment="1">
      <alignment horizontal="center"/>
    </xf>
    <xf numFmtId="0" fontId="22" fillId="3" borderId="7" xfId="0" applyFont="1" applyFill="1" applyBorder="1" applyAlignment="1">
      <alignment horizontal="center"/>
    </xf>
    <xf numFmtId="0" fontId="20" fillId="3" borderId="8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9" xfId="0" applyFont="1" applyFill="1" applyBorder="1" applyAlignment="1">
      <alignment horizontal="center"/>
    </xf>
    <xf numFmtId="1" fontId="20" fillId="3" borderId="8" xfId="0" applyNumberFormat="1" applyFont="1" applyFill="1" applyBorder="1" applyAlignment="1">
      <alignment horizontal="left"/>
    </xf>
    <xf numFmtId="1" fontId="20" fillId="3" borderId="0" xfId="0" applyNumberFormat="1" applyFont="1" applyFill="1" applyAlignment="1">
      <alignment horizontal="left"/>
    </xf>
    <xf numFmtId="1" fontId="20" fillId="3" borderId="9" xfId="0" applyNumberFormat="1" applyFont="1" applyFill="1" applyBorder="1" applyAlignment="1">
      <alignment horizontal="left"/>
    </xf>
    <xf numFmtId="0" fontId="20" fillId="3" borderId="8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9" xfId="0" applyFont="1" applyFill="1" applyBorder="1" applyAlignment="1">
      <alignment horizontal="left"/>
    </xf>
    <xf numFmtId="0" fontId="20" fillId="3" borderId="43" xfId="0" applyFont="1" applyFill="1" applyBorder="1" applyAlignment="1">
      <alignment horizontal="left"/>
    </xf>
    <xf numFmtId="0" fontId="20" fillId="3" borderId="14" xfId="0" applyFont="1" applyFill="1" applyBorder="1" applyAlignment="1">
      <alignment horizontal="left"/>
    </xf>
    <xf numFmtId="0" fontId="20" fillId="3" borderId="15" xfId="0" applyFont="1" applyFill="1" applyBorder="1" applyAlignment="1">
      <alignment horizontal="left"/>
    </xf>
    <xf numFmtId="0" fontId="21" fillId="5" borderId="22" xfId="0" applyFont="1" applyFill="1" applyBorder="1" applyAlignment="1">
      <alignment horizontal="center"/>
    </xf>
    <xf numFmtId="0" fontId="21" fillId="5" borderId="22" xfId="0" applyFont="1" applyFill="1" applyBorder="1" applyAlignment="1">
      <alignment horizontal="left"/>
    </xf>
    <xf numFmtId="0" fontId="21" fillId="5" borderId="23" xfId="0" applyFont="1" applyFill="1" applyBorder="1" applyAlignment="1">
      <alignment horizontal="left"/>
    </xf>
    <xf numFmtId="0" fontId="21" fillId="14" borderId="28" xfId="0" applyFont="1" applyFill="1" applyBorder="1" applyAlignment="1">
      <alignment horizontal="left"/>
    </xf>
    <xf numFmtId="0" fontId="21" fillId="14" borderId="29" xfId="0" applyFont="1" applyFill="1" applyBorder="1" applyAlignment="1">
      <alignment horizontal="left"/>
    </xf>
    <xf numFmtId="0" fontId="21" fillId="14" borderId="30" xfId="0" applyFont="1" applyFill="1" applyBorder="1" applyAlignment="1">
      <alignment horizontal="left"/>
    </xf>
    <xf numFmtId="0" fontId="21" fillId="5" borderId="19" xfId="0" applyFont="1" applyFill="1" applyBorder="1" applyAlignment="1">
      <alignment horizontal="left"/>
    </xf>
    <xf numFmtId="0" fontId="21" fillId="5" borderId="35" xfId="0" applyFont="1" applyFill="1" applyBorder="1" applyAlignment="1">
      <alignment horizontal="left"/>
    </xf>
    <xf numFmtId="0" fontId="21" fillId="5" borderId="19" xfId="0" applyFont="1" applyFill="1" applyBorder="1" applyAlignment="1">
      <alignment horizontal="center"/>
    </xf>
    <xf numFmtId="0" fontId="21" fillId="5" borderId="32" xfId="0" applyFont="1" applyFill="1" applyBorder="1" applyAlignment="1">
      <alignment horizontal="left"/>
    </xf>
    <xf numFmtId="0" fontId="30" fillId="3" borderId="8" xfId="0" applyFont="1" applyFill="1" applyBorder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30" fillId="3" borderId="9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20" fillId="2" borderId="2" xfId="0" applyFont="1" applyFill="1" applyBorder="1" applyAlignment="1" applyProtection="1">
      <alignment horizontal="center"/>
      <protection locked="0"/>
    </xf>
    <xf numFmtId="0" fontId="20" fillId="2" borderId="4" xfId="0" applyFont="1" applyFill="1" applyBorder="1" applyAlignment="1" applyProtection="1">
      <alignment horizontal="center"/>
      <protection locked="0"/>
    </xf>
    <xf numFmtId="0" fontId="20" fillId="2" borderId="18" xfId="0" applyFont="1" applyFill="1" applyBorder="1" applyAlignment="1" applyProtection="1">
      <alignment horizontal="center"/>
      <protection locked="0"/>
    </xf>
    <xf numFmtId="0" fontId="20" fillId="2" borderId="13" xfId="0" applyFont="1" applyFill="1" applyBorder="1" applyAlignment="1" applyProtection="1">
      <alignment horizontal="center"/>
      <protection locked="0"/>
    </xf>
    <xf numFmtId="0" fontId="22" fillId="3" borderId="5" xfId="0" applyFont="1" applyFill="1" applyBorder="1" applyAlignment="1">
      <alignment horizontal="left"/>
    </xf>
    <xf numFmtId="0" fontId="22" fillId="3" borderId="6" xfId="0" applyFont="1" applyFill="1" applyBorder="1" applyAlignment="1">
      <alignment horizontal="left"/>
    </xf>
    <xf numFmtId="0" fontId="22" fillId="3" borderId="7" xfId="0" applyFont="1" applyFill="1" applyBorder="1" applyAlignment="1">
      <alignment horizontal="left"/>
    </xf>
    <xf numFmtId="0" fontId="22" fillId="15" borderId="23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center"/>
    </xf>
    <xf numFmtId="0" fontId="45" fillId="7" borderId="28" xfId="0" applyFont="1" applyFill="1" applyBorder="1" applyAlignment="1">
      <alignment horizontal="center"/>
    </xf>
    <xf numFmtId="0" fontId="45" fillId="7" borderId="29" xfId="0" applyFont="1" applyFill="1" applyBorder="1" applyAlignment="1">
      <alignment horizontal="center"/>
    </xf>
    <xf numFmtId="0" fontId="45" fillId="7" borderId="30" xfId="0" applyFont="1" applyFill="1" applyBorder="1" applyAlignment="1">
      <alignment horizontal="center"/>
    </xf>
    <xf numFmtId="0" fontId="22" fillId="3" borderId="0" xfId="0" applyFont="1" applyFill="1" applyAlignment="1">
      <alignment horizontal="left"/>
    </xf>
    <xf numFmtId="1" fontId="22" fillId="3" borderId="0" xfId="0" applyNumberFormat="1" applyFont="1" applyFill="1" applyAlignment="1">
      <alignment horizontal="left"/>
    </xf>
    <xf numFmtId="1" fontId="22" fillId="3" borderId="9" xfId="0" applyNumberFormat="1" applyFont="1" applyFill="1" applyBorder="1" applyAlignment="1">
      <alignment horizontal="left"/>
    </xf>
    <xf numFmtId="0" fontId="21" fillId="5" borderId="29" xfId="0" applyFont="1" applyFill="1" applyBorder="1" applyAlignment="1">
      <alignment horizontal="left"/>
    </xf>
    <xf numFmtId="0" fontId="21" fillId="5" borderId="30" xfId="0" applyFont="1" applyFill="1" applyBorder="1" applyAlignment="1">
      <alignment horizontal="left"/>
    </xf>
    <xf numFmtId="0" fontId="21" fillId="5" borderId="29" xfId="0" applyFont="1" applyFill="1" applyBorder="1" applyAlignment="1">
      <alignment horizontal="center"/>
    </xf>
    <xf numFmtId="0" fontId="21" fillId="5" borderId="28" xfId="0" applyFont="1" applyFill="1" applyBorder="1" applyAlignment="1">
      <alignment horizontal="left"/>
    </xf>
    <xf numFmtId="0" fontId="50" fillId="5" borderId="28" xfId="0" applyFont="1" applyFill="1" applyBorder="1" applyAlignment="1">
      <alignment horizontal="left"/>
    </xf>
    <xf numFmtId="0" fontId="50" fillId="5" borderId="29" xfId="0" applyFont="1" applyFill="1" applyBorder="1" applyAlignment="1">
      <alignment horizontal="left"/>
    </xf>
    <xf numFmtId="0" fontId="50" fillId="5" borderId="29" xfId="0" applyFont="1" applyFill="1" applyBorder="1" applyAlignment="1">
      <alignment horizontal="right"/>
    </xf>
    <xf numFmtId="0" fontId="50" fillId="5" borderId="30" xfId="0" applyFont="1" applyFill="1" applyBorder="1" applyAlignment="1">
      <alignment horizontal="left"/>
    </xf>
    <xf numFmtId="0" fontId="50" fillId="2" borderId="0" xfId="0" applyFont="1" applyFill="1" applyAlignment="1">
      <alignment horizontal="right"/>
    </xf>
    <xf numFmtId="0" fontId="50" fillId="2" borderId="0" xfId="0" applyFont="1" applyFill="1" applyAlignment="1">
      <alignment horizontal="left"/>
    </xf>
    <xf numFmtId="0" fontId="50" fillId="2" borderId="0" xfId="0" applyFont="1" applyFill="1" applyAlignment="1">
      <alignment horizontal="center" vertical="center"/>
    </xf>
    <xf numFmtId="0" fontId="27" fillId="14" borderId="28" xfId="0" applyFont="1" applyFill="1" applyBorder="1" applyAlignment="1">
      <alignment horizontal="left"/>
    </xf>
    <xf numFmtId="0" fontId="27" fillId="14" borderId="29" xfId="0" applyFont="1" applyFill="1" applyBorder="1" applyAlignment="1">
      <alignment horizontal="left"/>
    </xf>
    <xf numFmtId="0" fontId="27" fillId="14" borderId="30" xfId="0" applyFont="1" applyFill="1" applyBorder="1" applyAlignment="1">
      <alignment horizontal="left"/>
    </xf>
    <xf numFmtId="0" fontId="27" fillId="2" borderId="0" xfId="0" applyFont="1" applyFill="1" applyAlignment="1">
      <alignment horizontal="center"/>
    </xf>
    <xf numFmtId="0" fontId="34" fillId="15" borderId="22" xfId="0" applyFont="1" applyFill="1" applyBorder="1" applyAlignment="1">
      <alignment horizontal="right"/>
    </xf>
    <xf numFmtId="0" fontId="34" fillId="15" borderId="22" xfId="0" applyFont="1" applyFill="1" applyBorder="1" applyAlignment="1">
      <alignment horizontal="left"/>
    </xf>
    <xf numFmtId="0" fontId="34" fillId="15" borderId="23" xfId="0" applyFont="1" applyFill="1" applyBorder="1" applyAlignment="1">
      <alignment horizontal="left"/>
    </xf>
    <xf numFmtId="0" fontId="34" fillId="3" borderId="11" xfId="0" applyFont="1" applyFill="1" applyBorder="1" applyAlignment="1">
      <alignment horizontal="center"/>
    </xf>
    <xf numFmtId="0" fontId="34" fillId="3" borderId="12" xfId="0" applyFont="1" applyFill="1" applyBorder="1" applyAlignment="1">
      <alignment horizontal="center"/>
    </xf>
    <xf numFmtId="0" fontId="34" fillId="3" borderId="2" xfId="0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/>
    </xf>
    <xf numFmtId="0" fontId="34" fillId="3" borderId="4" xfId="0" applyFont="1" applyFill="1" applyBorder="1" applyAlignment="1">
      <alignment horizontal="center"/>
    </xf>
    <xf numFmtId="0" fontId="24" fillId="2" borderId="18" xfId="0" applyFont="1" applyFill="1" applyBorder="1" applyAlignment="1">
      <alignment horizontal="left" vertical="top"/>
    </xf>
    <xf numFmtId="0" fontId="24" fillId="2" borderId="17" xfId="0" applyFont="1" applyFill="1" applyBorder="1" applyAlignment="1">
      <alignment horizontal="left" vertical="top"/>
    </xf>
    <xf numFmtId="0" fontId="24" fillId="2" borderId="13" xfId="0" applyFont="1" applyFill="1" applyBorder="1" applyAlignment="1">
      <alignment horizontal="left" vertical="top"/>
    </xf>
    <xf numFmtId="0" fontId="24" fillId="3" borderId="43" xfId="0" applyFont="1" applyFill="1" applyBorder="1" applyAlignment="1">
      <alignment horizontal="left"/>
    </xf>
    <xf numFmtId="0" fontId="24" fillId="3" borderId="14" xfId="0" applyFont="1" applyFill="1" applyBorder="1" applyAlignment="1">
      <alignment horizontal="left"/>
    </xf>
    <xf numFmtId="0" fontId="24" fillId="3" borderId="43" xfId="0" applyFont="1" applyFill="1" applyBorder="1" applyAlignment="1">
      <alignment horizontal="left" vertical="top" wrapText="1"/>
    </xf>
    <xf numFmtId="0" fontId="24" fillId="3" borderId="14" xfId="0" applyFont="1" applyFill="1" applyBorder="1" applyAlignment="1">
      <alignment horizontal="left" vertical="top" wrapText="1"/>
    </xf>
    <xf numFmtId="0" fontId="24" fillId="3" borderId="15" xfId="0" applyFont="1" applyFill="1" applyBorder="1" applyAlignment="1">
      <alignment horizontal="left" vertical="top" wrapText="1"/>
    </xf>
    <xf numFmtId="0" fontId="34" fillId="2" borderId="0" xfId="0" applyFont="1" applyFill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left"/>
    </xf>
    <xf numFmtId="0" fontId="24" fillId="3" borderId="3" xfId="0" applyFont="1" applyFill="1" applyBorder="1" applyAlignment="1">
      <alignment horizontal="left"/>
    </xf>
    <xf numFmtId="0" fontId="24" fillId="3" borderId="2" xfId="0" applyFont="1" applyFill="1" applyBorder="1" applyAlignment="1">
      <alignment horizontal="left" vertical="top" wrapText="1"/>
    </xf>
    <xf numFmtId="0" fontId="24" fillId="3" borderId="3" xfId="0" applyFont="1" applyFill="1" applyBorder="1" applyAlignment="1">
      <alignment horizontal="left" vertical="top" wrapText="1"/>
    </xf>
    <xf numFmtId="0" fontId="24" fillId="3" borderId="4" xfId="0" applyFont="1" applyFill="1" applyBorder="1" applyAlignment="1">
      <alignment horizontal="left" vertical="top" wrapText="1"/>
    </xf>
    <xf numFmtId="0" fontId="51" fillId="3" borderId="18" xfId="0" applyFont="1" applyFill="1" applyBorder="1" applyAlignment="1">
      <alignment horizontal="left" vertical="top" wrapText="1"/>
    </xf>
    <xf numFmtId="0" fontId="51" fillId="3" borderId="17" xfId="0" applyFont="1" applyFill="1" applyBorder="1" applyAlignment="1">
      <alignment horizontal="left" vertical="top" wrapText="1"/>
    </xf>
    <xf numFmtId="0" fontId="51" fillId="3" borderId="13" xfId="0" applyFont="1" applyFill="1" applyBorder="1" applyAlignment="1">
      <alignment horizontal="left" vertical="top" wrapText="1"/>
    </xf>
    <xf numFmtId="0" fontId="24" fillId="2" borderId="1" xfId="0" applyFont="1" applyFill="1" applyBorder="1" applyAlignment="1" applyProtection="1">
      <alignment horizontal="left"/>
      <protection locked="0"/>
    </xf>
    <xf numFmtId="0" fontId="24" fillId="2" borderId="16" xfId="0" applyFont="1" applyFill="1" applyBorder="1" applyAlignment="1" applyProtection="1">
      <alignment horizontal="left"/>
      <protection locked="0"/>
    </xf>
    <xf numFmtId="0" fontId="34" fillId="3" borderId="45" xfId="0" applyFont="1" applyFill="1" applyBorder="1" applyAlignment="1">
      <alignment horizontal="center"/>
    </xf>
    <xf numFmtId="0" fontId="34" fillId="15" borderId="21" xfId="0" applyFont="1" applyFill="1" applyBorder="1" applyAlignment="1">
      <alignment horizontal="left"/>
    </xf>
    <xf numFmtId="0" fontId="34" fillId="15" borderId="22" xfId="0" applyFont="1" applyFill="1" applyBorder="1" applyAlignment="1">
      <alignment horizontal="center"/>
    </xf>
    <xf numFmtId="0" fontId="24" fillId="2" borderId="1" xfId="0" applyFont="1" applyFill="1" applyBorder="1" applyAlignment="1" applyProtection="1">
      <alignment horizontal="left" wrapText="1"/>
      <protection locked="0"/>
    </xf>
    <xf numFmtId="0" fontId="50" fillId="14" borderId="28" xfId="0" applyFont="1" applyFill="1" applyBorder="1" applyAlignment="1">
      <alignment horizontal="left"/>
    </xf>
    <xf numFmtId="0" fontId="50" fillId="14" borderId="29" xfId="0" applyFont="1" applyFill="1" applyBorder="1" applyAlignment="1">
      <alignment horizontal="left"/>
    </xf>
    <xf numFmtId="0" fontId="50" fillId="14" borderId="30" xfId="0" applyFont="1" applyFill="1" applyBorder="1" applyAlignment="1">
      <alignment horizontal="left"/>
    </xf>
    <xf numFmtId="0" fontId="34" fillId="2" borderId="29" xfId="0" applyFont="1" applyFill="1" applyBorder="1" applyAlignment="1">
      <alignment horizontal="center"/>
    </xf>
    <xf numFmtId="0" fontId="34" fillId="3" borderId="22" xfId="0" applyFont="1" applyFill="1" applyBorder="1" applyAlignment="1">
      <alignment horizontal="center"/>
    </xf>
    <xf numFmtId="0" fontId="34" fillId="3" borderId="63" xfId="0" applyFont="1" applyFill="1" applyBorder="1" applyAlignment="1">
      <alignment horizontal="center"/>
    </xf>
    <xf numFmtId="0" fontId="34" fillId="3" borderId="64" xfId="0" applyFont="1" applyFill="1" applyBorder="1" applyAlignment="1">
      <alignment horizontal="center"/>
    </xf>
    <xf numFmtId="0" fontId="24" fillId="2" borderId="3" xfId="0" applyFont="1" applyFill="1" applyBorder="1" applyAlignment="1" applyProtection="1">
      <alignment horizontal="center" vertical="top"/>
      <protection locked="0"/>
    </xf>
    <xf numFmtId="0" fontId="24" fillId="2" borderId="4" xfId="0" applyFont="1" applyFill="1" applyBorder="1" applyAlignment="1" applyProtection="1">
      <alignment horizontal="center" vertical="top"/>
      <protection locked="0"/>
    </xf>
    <xf numFmtId="0" fontId="51" fillId="3" borderId="5" xfId="0" applyFont="1" applyFill="1" applyBorder="1" applyAlignment="1">
      <alignment horizontal="left" vertical="top" wrapText="1"/>
    </xf>
    <xf numFmtId="0" fontId="51" fillId="3" borderId="6" xfId="0" applyFont="1" applyFill="1" applyBorder="1" applyAlignment="1">
      <alignment horizontal="left" vertical="top" wrapText="1"/>
    </xf>
    <xf numFmtId="0" fontId="51" fillId="3" borderId="7" xfId="0" applyFont="1" applyFill="1" applyBorder="1" applyAlignment="1">
      <alignment horizontal="left" vertical="top" wrapText="1"/>
    </xf>
    <xf numFmtId="0" fontId="51" fillId="3" borderId="43" xfId="0" applyFont="1" applyFill="1" applyBorder="1" applyAlignment="1">
      <alignment horizontal="left" vertical="top" wrapText="1"/>
    </xf>
    <xf numFmtId="0" fontId="51" fillId="3" borderId="14" xfId="0" applyFont="1" applyFill="1" applyBorder="1" applyAlignment="1">
      <alignment horizontal="left" vertical="top" wrapText="1"/>
    </xf>
    <xf numFmtId="0" fontId="51" fillId="3" borderId="15" xfId="0" applyFont="1" applyFill="1" applyBorder="1" applyAlignment="1">
      <alignment horizontal="left" vertical="top" wrapText="1"/>
    </xf>
    <xf numFmtId="0" fontId="24" fillId="2" borderId="17" xfId="0" applyFont="1" applyFill="1" applyBorder="1" applyAlignment="1" applyProtection="1">
      <alignment horizontal="center" vertical="top"/>
      <protection locked="0"/>
    </xf>
    <xf numFmtId="0" fontId="24" fillId="2" borderId="13" xfId="0" applyFont="1" applyFill="1" applyBorder="1" applyAlignment="1" applyProtection="1">
      <alignment horizontal="center" vertical="top"/>
      <protection locked="0"/>
    </xf>
    <xf numFmtId="0" fontId="20" fillId="2" borderId="2" xfId="0" applyFont="1" applyFill="1" applyBorder="1" applyAlignment="1" applyProtection="1">
      <alignment horizontal="left" vertical="top" wrapText="1"/>
      <protection locked="0"/>
    </xf>
    <xf numFmtId="0" fontId="20" fillId="2" borderId="3" xfId="0" applyFont="1" applyFill="1" applyBorder="1" applyAlignment="1" applyProtection="1">
      <alignment horizontal="left" vertical="top" wrapText="1"/>
      <protection locked="0"/>
    </xf>
    <xf numFmtId="0" fontId="20" fillId="2" borderId="4" xfId="0" applyFont="1" applyFill="1" applyBorder="1" applyAlignment="1" applyProtection="1">
      <alignment horizontal="left" vertical="top" wrapText="1"/>
      <protection locked="0"/>
    </xf>
    <xf numFmtId="0" fontId="20" fillId="2" borderId="1" xfId="0" applyFont="1" applyFill="1" applyBorder="1" applyAlignment="1" applyProtection="1">
      <alignment horizontal="left"/>
      <protection locked="0"/>
    </xf>
    <xf numFmtId="0" fontId="20" fillId="2" borderId="16" xfId="0" applyFont="1" applyFill="1" applyBorder="1" applyAlignment="1" applyProtection="1">
      <alignment horizontal="left"/>
      <protection locked="0"/>
    </xf>
    <xf numFmtId="0" fontId="20" fillId="2" borderId="1" xfId="0" applyFont="1" applyFill="1" applyBorder="1" applyAlignment="1" applyProtection="1">
      <alignment horizontal="left" vertical="top" wrapText="1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0" fontId="44" fillId="2" borderId="0" xfId="0" applyFont="1" applyFill="1" applyAlignment="1">
      <alignment horizontal="left"/>
    </xf>
    <xf numFmtId="0" fontId="21" fillId="6" borderId="21" xfId="0" applyFont="1" applyFill="1" applyBorder="1" applyAlignment="1">
      <alignment horizontal="left"/>
    </xf>
    <xf numFmtId="0" fontId="21" fillId="6" borderId="22" xfId="0" applyFont="1" applyFill="1" applyBorder="1" applyAlignment="1">
      <alignment horizontal="left"/>
    </xf>
    <xf numFmtId="0" fontId="21" fillId="6" borderId="22" xfId="0" applyFont="1" applyFill="1" applyBorder="1" applyAlignment="1">
      <alignment horizontal="right"/>
    </xf>
    <xf numFmtId="0" fontId="21" fillId="6" borderId="23" xfId="0" applyFont="1" applyFill="1" applyBorder="1" applyAlignment="1">
      <alignment horizontal="left"/>
    </xf>
    <xf numFmtId="0" fontId="24" fillId="3" borderId="39" xfId="0" applyFont="1" applyFill="1" applyBorder="1" applyAlignment="1">
      <alignment horizontal="left"/>
    </xf>
    <xf numFmtId="0" fontId="20" fillId="4" borderId="3" xfId="0" applyFont="1" applyFill="1" applyBorder="1" applyAlignment="1" applyProtection="1">
      <alignment horizontal="center"/>
      <protection locked="0"/>
    </xf>
    <xf numFmtId="0" fontId="20" fillId="3" borderId="1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2" fillId="5" borderId="28" xfId="0" applyFont="1" applyFill="1" applyBorder="1" applyAlignment="1">
      <alignment horizontal="center"/>
    </xf>
    <xf numFmtId="0" fontId="22" fillId="5" borderId="29" xfId="0" applyFont="1" applyFill="1" applyBorder="1" applyAlignment="1">
      <alignment horizontal="center"/>
    </xf>
    <xf numFmtId="0" fontId="24" fillId="3" borderId="10" xfId="0" applyFont="1" applyFill="1" applyBorder="1" applyAlignment="1">
      <alignment horizontal="left"/>
    </xf>
    <xf numFmtId="0" fontId="24" fillId="3" borderId="11" xfId="0" applyFont="1" applyFill="1" applyBorder="1" applyAlignment="1">
      <alignment horizontal="left"/>
    </xf>
    <xf numFmtId="0" fontId="20" fillId="3" borderId="1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/>
    </xf>
    <xf numFmtId="0" fontId="20" fillId="3" borderId="45" xfId="0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horizontal="left" vertical="top" wrapText="1"/>
    </xf>
    <xf numFmtId="0" fontId="20" fillId="3" borderId="2" xfId="0" applyFont="1" applyFill="1" applyBorder="1" applyAlignment="1">
      <alignment horizontal="left" vertical="top" wrapText="1"/>
    </xf>
    <xf numFmtId="0" fontId="22" fillId="3" borderId="46" xfId="0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center" vertical="center"/>
    </xf>
    <xf numFmtId="0" fontId="22" fillId="3" borderId="35" xfId="0" applyFont="1" applyFill="1" applyBorder="1" applyAlignment="1">
      <alignment horizontal="center" vertical="center"/>
    </xf>
    <xf numFmtId="0" fontId="22" fillId="3" borderId="4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37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/>
    </xf>
    <xf numFmtId="0" fontId="55" fillId="3" borderId="60" xfId="0" applyFont="1" applyFill="1" applyBorder="1" applyAlignment="1">
      <alignment horizontal="center" vertical="center"/>
    </xf>
    <xf numFmtId="0" fontId="55" fillId="3" borderId="61" xfId="0" applyFont="1" applyFill="1" applyBorder="1" applyAlignment="1">
      <alignment horizontal="center" vertical="center"/>
    </xf>
    <xf numFmtId="0" fontId="20" fillId="4" borderId="22" xfId="0" applyFont="1" applyFill="1" applyBorder="1" applyAlignment="1" applyProtection="1">
      <alignment horizontal="center"/>
      <protection locked="0"/>
    </xf>
    <xf numFmtId="0" fontId="22" fillId="3" borderId="60" xfId="0" applyFont="1" applyFill="1" applyBorder="1" applyAlignment="1">
      <alignment horizontal="center" vertical="center"/>
    </xf>
    <xf numFmtId="0" fontId="22" fillId="3" borderId="61" xfId="0" applyFont="1" applyFill="1" applyBorder="1" applyAlignment="1">
      <alignment horizontal="center" vertical="center"/>
    </xf>
    <xf numFmtId="0" fontId="22" fillId="3" borderId="59" xfId="0" applyFont="1" applyFill="1" applyBorder="1" applyAlignment="1">
      <alignment horizontal="center" vertical="center"/>
    </xf>
    <xf numFmtId="0" fontId="22" fillId="3" borderId="50" xfId="0" applyFont="1" applyFill="1" applyBorder="1" applyAlignment="1">
      <alignment horizontal="center" vertical="center"/>
    </xf>
    <xf numFmtId="0" fontId="55" fillId="3" borderId="51" xfId="0" applyFont="1" applyFill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center" vertical="center" wrapText="1"/>
      <protection locked="0"/>
    </xf>
    <xf numFmtId="0" fontId="22" fillId="3" borderId="14" xfId="0" applyFont="1" applyFill="1" applyBorder="1" applyAlignment="1" applyProtection="1">
      <alignment horizontal="center" vertical="center" wrapText="1"/>
      <protection locked="0"/>
    </xf>
    <xf numFmtId="0" fontId="24" fillId="3" borderId="18" xfId="0" applyFont="1" applyFill="1" applyBorder="1" applyAlignment="1">
      <alignment horizontal="left"/>
    </xf>
    <xf numFmtId="0" fontId="24" fillId="3" borderId="17" xfId="0" applyFont="1" applyFill="1" applyBorder="1" applyAlignment="1">
      <alignment horizontal="left"/>
    </xf>
    <xf numFmtId="0" fontId="22" fillId="5" borderId="32" xfId="0" applyFont="1" applyFill="1" applyBorder="1" applyAlignment="1">
      <alignment horizontal="left"/>
    </xf>
    <xf numFmtId="0" fontId="22" fillId="5" borderId="19" xfId="0" applyFont="1" applyFill="1" applyBorder="1" applyAlignment="1">
      <alignment horizontal="left"/>
    </xf>
    <xf numFmtId="187" fontId="55" fillId="4" borderId="28" xfId="0" applyNumberFormat="1" applyFont="1" applyFill="1" applyBorder="1" applyAlignment="1">
      <alignment horizontal="center"/>
    </xf>
    <xf numFmtId="187" fontId="55" fillId="4" borderId="29" xfId="0" applyNumberFormat="1" applyFont="1" applyFill="1" applyBorder="1" applyAlignment="1">
      <alignment horizontal="center"/>
    </xf>
    <xf numFmtId="0" fontId="20" fillId="4" borderId="11" xfId="0" applyFont="1" applyFill="1" applyBorder="1" applyAlignment="1" applyProtection="1">
      <alignment horizontal="center"/>
      <protection locked="0"/>
    </xf>
    <xf numFmtId="0" fontId="22" fillId="3" borderId="0" xfId="0" applyFont="1" applyFill="1" applyAlignment="1" applyProtection="1">
      <alignment horizontal="center" vertical="center" wrapText="1"/>
      <protection locked="0"/>
    </xf>
    <xf numFmtId="0" fontId="22" fillId="3" borderId="51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left" vertical="top" wrapText="1"/>
    </xf>
    <xf numFmtId="0" fontId="20" fillId="3" borderId="10" xfId="0" applyFont="1" applyFill="1" applyBorder="1" applyAlignment="1">
      <alignment horizontal="left" vertical="top" wrapText="1"/>
    </xf>
    <xf numFmtId="0" fontId="24" fillId="3" borderId="16" xfId="0" applyFont="1" applyFill="1" applyBorder="1" applyAlignment="1">
      <alignment horizontal="left"/>
    </xf>
    <xf numFmtId="0" fontId="20" fillId="4" borderId="57" xfId="0" applyFont="1" applyFill="1" applyBorder="1" applyAlignment="1" applyProtection="1">
      <alignment horizontal="center"/>
      <protection locked="0"/>
    </xf>
    <xf numFmtId="0" fontId="22" fillId="3" borderId="58" xfId="0" applyFont="1" applyFill="1" applyBorder="1" applyAlignment="1">
      <alignment horizontal="center"/>
    </xf>
    <xf numFmtId="0" fontId="22" fillId="3" borderId="1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left"/>
    </xf>
    <xf numFmtId="0" fontId="57" fillId="3" borderId="1" xfId="0" applyFont="1" applyFill="1" applyBorder="1" applyAlignment="1">
      <alignment horizontal="left"/>
    </xf>
    <xf numFmtId="0" fontId="57" fillId="3" borderId="2" xfId="0" applyFont="1" applyFill="1" applyBorder="1" applyAlignment="1">
      <alignment horizontal="left"/>
    </xf>
    <xf numFmtId="0" fontId="21" fillId="6" borderId="28" xfId="0" applyFont="1" applyFill="1" applyBorder="1" applyAlignment="1">
      <alignment horizontal="center"/>
    </xf>
    <xf numFmtId="0" fontId="21" fillId="6" borderId="29" xfId="0" applyFont="1" applyFill="1" applyBorder="1" applyAlignment="1">
      <alignment horizontal="center"/>
    </xf>
    <xf numFmtId="0" fontId="45" fillId="9" borderId="28" xfId="0" applyFont="1" applyFill="1" applyBorder="1" applyAlignment="1">
      <alignment horizontal="center"/>
    </xf>
    <xf numFmtId="0" fontId="45" fillId="9" borderId="29" xfId="0" applyFont="1" applyFill="1" applyBorder="1" applyAlignment="1">
      <alignment horizontal="center"/>
    </xf>
    <xf numFmtId="0" fontId="45" fillId="9" borderId="30" xfId="0" applyFont="1" applyFill="1" applyBorder="1" applyAlignment="1">
      <alignment horizontal="center"/>
    </xf>
    <xf numFmtId="2" fontId="46" fillId="6" borderId="19" xfId="0" applyNumberFormat="1" applyFont="1" applyFill="1" applyBorder="1" applyAlignment="1">
      <alignment horizontal="center"/>
    </xf>
    <xf numFmtId="0" fontId="24" fillId="3" borderId="53" xfId="0" applyFont="1" applyFill="1" applyBorder="1" applyAlignment="1">
      <alignment horizontal="left" vertical="top" wrapText="1"/>
    </xf>
    <xf numFmtId="0" fontId="24" fillId="3" borderId="10" xfId="0" applyFont="1" applyFill="1" applyBorder="1" applyAlignment="1">
      <alignment horizontal="left" vertical="top" wrapText="1"/>
    </xf>
    <xf numFmtId="0" fontId="24" fillId="3" borderId="1" xfId="0" applyFont="1" applyFill="1" applyBorder="1" applyAlignment="1">
      <alignment horizontal="left" vertical="top" wrapText="1"/>
    </xf>
    <xf numFmtId="0" fontId="22" fillId="3" borderId="32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0" fillId="4" borderId="58" xfId="0" applyFont="1" applyFill="1" applyBorder="1" applyAlignment="1" applyProtection="1">
      <alignment horizontal="center"/>
      <protection locked="0"/>
    </xf>
    <xf numFmtId="0" fontId="22" fillId="0" borderId="1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2" fontId="20" fillId="11" borderId="2" xfId="1" applyNumberFormat="1" applyFont="1" applyFill="1" applyBorder="1" applyAlignment="1">
      <alignment horizontal="center"/>
    </xf>
    <xf numFmtId="2" fontId="20" fillId="11" borderId="3" xfId="1" applyNumberFormat="1" applyFont="1" applyFill="1" applyBorder="1" applyAlignment="1">
      <alignment horizontal="center"/>
    </xf>
    <xf numFmtId="2" fontId="20" fillId="12" borderId="2" xfId="0" applyNumberFormat="1" applyFont="1" applyFill="1" applyBorder="1" applyAlignment="1">
      <alignment horizontal="center"/>
    </xf>
    <xf numFmtId="2" fontId="20" fillId="12" borderId="3" xfId="0" applyNumberFormat="1" applyFont="1" applyFill="1" applyBorder="1" applyAlignment="1">
      <alignment horizontal="center"/>
    </xf>
    <xf numFmtId="2" fontId="20" fillId="12" borderId="4" xfId="0" applyNumberFormat="1" applyFont="1" applyFill="1" applyBorder="1" applyAlignment="1">
      <alignment horizontal="center"/>
    </xf>
    <xf numFmtId="0" fontId="20" fillId="0" borderId="38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30" fillId="0" borderId="38" xfId="0" applyFont="1" applyBorder="1" applyAlignment="1">
      <alignment horizontal="left"/>
    </xf>
    <xf numFmtId="0" fontId="30" fillId="0" borderId="1" xfId="0" applyFont="1" applyBorder="1" applyAlignment="1">
      <alignment horizontal="left"/>
    </xf>
    <xf numFmtId="0" fontId="21" fillId="0" borderId="5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2" fillId="0" borderId="57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top"/>
    </xf>
    <xf numFmtId="0" fontId="22" fillId="0" borderId="0" xfId="0" applyFont="1" applyAlignment="1">
      <alignment horizontal="left"/>
    </xf>
    <xf numFmtId="0" fontId="20" fillId="0" borderId="38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2" fontId="31" fillId="0" borderId="1" xfId="0" applyNumberFormat="1" applyFont="1" applyBorder="1" applyAlignment="1">
      <alignment horizontal="center" vertical="center"/>
    </xf>
    <xf numFmtId="2" fontId="31" fillId="0" borderId="16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20" fillId="11" borderId="38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left"/>
    </xf>
    <xf numFmtId="0" fontId="20" fillId="11" borderId="2" xfId="0" applyFont="1" applyFill="1" applyBorder="1" applyAlignment="1">
      <alignment horizontal="left"/>
    </xf>
    <xf numFmtId="0" fontId="20" fillId="12" borderId="38" xfId="0" applyFont="1" applyFill="1" applyBorder="1" applyAlignment="1">
      <alignment horizontal="left"/>
    </xf>
    <xf numFmtId="0" fontId="20" fillId="12" borderId="1" xfId="0" applyFont="1" applyFill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22" fillId="0" borderId="21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2" fillId="0" borderId="3" xfId="0" applyFont="1" applyBorder="1" applyAlignment="1">
      <alignment horizontal="center"/>
    </xf>
    <xf numFmtId="2" fontId="22" fillId="12" borderId="45" xfId="0" applyNumberFormat="1" applyFont="1" applyFill="1" applyBorder="1" applyAlignment="1">
      <alignment horizontal="center" vertical="center"/>
    </xf>
    <xf numFmtId="2" fontId="22" fillId="12" borderId="62" xfId="0" applyNumberFormat="1" applyFont="1" applyFill="1" applyBorder="1" applyAlignment="1">
      <alignment horizontal="center" vertical="center"/>
    </xf>
    <xf numFmtId="2" fontId="22" fillId="12" borderId="53" xfId="0" applyNumberFormat="1" applyFont="1" applyFill="1" applyBorder="1" applyAlignment="1">
      <alignment horizontal="center" vertical="center"/>
    </xf>
    <xf numFmtId="0" fontId="20" fillId="12" borderId="57" xfId="0" applyFont="1" applyFill="1" applyBorder="1" applyAlignment="1">
      <alignment horizontal="left"/>
    </xf>
    <xf numFmtId="0" fontId="20" fillId="12" borderId="3" xfId="0" applyFont="1" applyFill="1" applyBorder="1" applyAlignment="1">
      <alignment horizontal="left"/>
    </xf>
    <xf numFmtId="0" fontId="20" fillId="12" borderId="4" xfId="0" applyFont="1" applyFill="1" applyBorder="1" applyAlignment="1">
      <alignment horizontal="left"/>
    </xf>
    <xf numFmtId="2" fontId="26" fillId="0" borderId="18" xfId="1" applyNumberFormat="1" applyFont="1" applyFill="1" applyBorder="1" applyAlignment="1">
      <alignment horizontal="center" vertical="center"/>
    </xf>
    <xf numFmtId="2" fontId="26" fillId="0" borderId="17" xfId="1" applyNumberFormat="1" applyFont="1" applyFill="1" applyBorder="1" applyAlignment="1">
      <alignment horizontal="center" vertical="center"/>
    </xf>
    <xf numFmtId="2" fontId="24" fillId="12" borderId="45" xfId="0" applyNumberFormat="1" applyFont="1" applyFill="1" applyBorder="1" applyAlignment="1">
      <alignment horizontal="center" vertical="center"/>
    </xf>
    <xf numFmtId="2" fontId="24" fillId="12" borderId="62" xfId="0" applyNumberFormat="1" applyFont="1" applyFill="1" applyBorder="1" applyAlignment="1">
      <alignment horizontal="center" vertical="center"/>
    </xf>
    <xf numFmtId="2" fontId="24" fillId="12" borderId="53" xfId="0" applyNumberFormat="1" applyFont="1" applyFill="1" applyBorder="1" applyAlignment="1">
      <alignment horizontal="center" vertical="center"/>
    </xf>
    <xf numFmtId="2" fontId="34" fillId="12" borderId="31" xfId="0" applyNumberFormat="1" applyFont="1" applyFill="1" applyBorder="1" applyAlignment="1">
      <alignment horizontal="center" vertical="center"/>
    </xf>
    <xf numFmtId="2" fontId="34" fillId="12" borderId="61" xfId="0" applyNumberFormat="1" applyFont="1" applyFill="1" applyBorder="1" applyAlignment="1">
      <alignment horizontal="center" vertical="center"/>
    </xf>
    <xf numFmtId="2" fontId="34" fillId="12" borderId="54" xfId="0" applyNumberFormat="1" applyFont="1" applyFill="1" applyBorder="1" applyAlignment="1">
      <alignment horizontal="center" vertical="center"/>
    </xf>
    <xf numFmtId="0" fontId="63" fillId="0" borderId="0" xfId="0" applyNumberFormat="1" applyFont="1"/>
  </cellXfs>
  <cellStyles count="2">
    <cellStyle name="Comma" xfId="1" builtinId="3"/>
    <cellStyle name="Normal" xfId="0" builtinId="0"/>
  </cellStyles>
  <dxfs count="38">
    <dxf>
      <font>
        <name val="TH Sarabun New"/>
        <scheme val="none"/>
      </font>
    </dxf>
    <dxf>
      <font>
        <name val="TH Sarabun New"/>
        <scheme val="none"/>
      </font>
    </dxf>
    <dxf>
      <font>
        <name val="TH Sarabun New"/>
        <scheme val="none"/>
      </font>
    </dxf>
    <dxf>
      <font>
        <name val="TH Sarabun New"/>
        <scheme val="none"/>
      </font>
    </dxf>
    <dxf>
      <font>
        <name val="TH Sarabun New"/>
        <scheme val="none"/>
      </font>
    </dxf>
    <dxf>
      <font>
        <name val="TH Sarabun New"/>
        <scheme val="none"/>
      </font>
    </dxf>
    <dxf>
      <fill>
        <patternFill>
          <bgColor rgb="FFCC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66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66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66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TH Sarabun New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fill>
        <patternFill patternType="none">
          <fgColor indexed="64"/>
          <bgColor auto="1"/>
        </patternFill>
      </fill>
    </dxf>
    <dxf>
      <font>
        <name val="TH Sarabun New"/>
        <scheme val="none"/>
      </font>
    </dxf>
    <dxf>
      <font>
        <name val="TH Sarabun New"/>
        <scheme val="none"/>
      </font>
    </dxf>
    <dxf>
      <font>
        <name val="TH Sarabun New"/>
        <scheme val="none"/>
      </font>
    </dxf>
    <dxf>
      <font>
        <name val="TH Sarabun New"/>
        <scheme val="none"/>
      </font>
    </dxf>
    <dxf>
      <font>
        <name val="TH Sarabun New"/>
        <scheme val="none"/>
      </font>
    </dxf>
    <dxf>
      <font>
        <name val="TH Sarabun New"/>
        <scheme val="none"/>
      </font>
    </dxf>
  </dxfs>
  <tableStyles count="0" defaultTableStyle="TableStyleMedium2" defaultPivotStyle="PivotStyleLight16"/>
  <colors>
    <mruColors>
      <color rgb="FF0000FF"/>
      <color rgb="FFF0FBFE"/>
      <color rgb="FFFEFBE6"/>
      <color rgb="FFFB3109"/>
      <color rgb="FFCC9B00"/>
      <color rgb="FF66FF33"/>
      <color rgb="FFCCFF33"/>
      <color rgb="FFCCFF66"/>
      <color rgb="FFEA0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22/11/relationships/FeaturePropertyBag" Target="featurePropertyBag/featurePropertyBag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[PARec_Template69.xlsx]6-Report!PivotTable2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H Sarabun New" panose="020B0500040200020003" pitchFamily="34" charset="-34"/>
                  <a:ea typeface="+mn-ea"/>
                  <a:cs typeface="TH Sarabun New" panose="020B0500040200020003" pitchFamily="34" charset="-34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H Sarabun New" panose="020B0500040200020003" pitchFamily="34" charset="-34"/>
                  <a:ea typeface="+mn-ea"/>
                  <a:cs typeface="TH Sarabun New" panose="020B0500040200020003" pitchFamily="34" charset="-34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'6-Report'!$W$20</c:f>
              <c:strCache>
                <c:ptCount val="1"/>
                <c:pt idx="0">
                  <c:v>Sum of ภาระงาน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 New" panose="020B0500040200020003" pitchFamily="34" charset="-34"/>
                    <a:ea typeface="+mn-ea"/>
                    <a:cs typeface="TH Sarabun New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'6-Report'!$V$21:$V$26</c:f>
              <c:strCache>
                <c:ptCount val="5"/>
                <c:pt idx="0">
                  <c:v>งานคณะฯ</c:v>
                </c:pt>
                <c:pt idx="1">
                  <c:v>งานมหาวิทยาลัย</c:v>
                </c:pt>
                <c:pt idx="2">
                  <c:v>งานวิชาการ</c:v>
                </c:pt>
                <c:pt idx="3">
                  <c:v>งานสนับสนุนการปฏิบัติงาน</c:v>
                </c:pt>
                <c:pt idx="4">
                  <c:v>งานสอน</c:v>
                </c:pt>
              </c:strCache>
            </c:strRef>
          </c:cat>
          <c:val>
            <c:numRef>
              <c:f>'6-Report'!$W$21:$W$26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4-4528-A525-4A8F687919F4}"/>
            </c:ext>
          </c:extLst>
        </c:ser>
        <c:ser>
          <c:idx val="1"/>
          <c:order val="1"/>
          <c:tx>
            <c:strRef>
              <c:f>'6-Report'!$X$20</c:f>
              <c:strCache>
                <c:ptCount val="1"/>
                <c:pt idx="0">
                  <c:v>Sum of ภาระงาน2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 New" panose="020B0500040200020003" pitchFamily="34" charset="-34"/>
                    <a:ea typeface="+mn-ea"/>
                    <a:cs typeface="TH Sarabun New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'6-Report'!$V$21:$V$26</c:f>
              <c:strCache>
                <c:ptCount val="5"/>
                <c:pt idx="0">
                  <c:v>งานคณะฯ</c:v>
                </c:pt>
                <c:pt idx="1">
                  <c:v>งานมหาวิทยาลัย</c:v>
                </c:pt>
                <c:pt idx="2">
                  <c:v>งานวิชาการ</c:v>
                </c:pt>
                <c:pt idx="3">
                  <c:v>งานสนับสนุนการปฏิบัติงาน</c:v>
                </c:pt>
                <c:pt idx="4">
                  <c:v>งานสอน</c:v>
                </c:pt>
              </c:strCache>
            </c:strRef>
          </c:cat>
          <c:val>
            <c:numRef>
              <c:f>'6-Report'!$X$21:$X$26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04-4528-A525-4A8F687919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2817455"/>
        <c:axId val="172819535"/>
        <c:axId val="0"/>
      </c:bar3DChart>
      <c:catAx>
        <c:axId val="1728174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 New" panose="020B0500040200020003" pitchFamily="34" charset="-34"/>
                <a:ea typeface="+mn-ea"/>
                <a:cs typeface="TH Sarabun New" panose="020B0500040200020003" pitchFamily="34" charset="-34"/>
              </a:defRPr>
            </a:pPr>
            <a:endParaRPr lang="en-US"/>
          </a:p>
        </c:txPr>
        <c:crossAx val="172819535"/>
        <c:crosses val="autoZero"/>
        <c:auto val="1"/>
        <c:lblAlgn val="ctr"/>
        <c:lblOffset val="100"/>
        <c:noMultiLvlLbl val="0"/>
      </c:catAx>
      <c:valAx>
        <c:axId val="172819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 New" panose="020B0500040200020003" pitchFamily="34" charset="-34"/>
                <a:ea typeface="+mn-ea"/>
                <a:cs typeface="TH Sarabun New" panose="020B0500040200020003" pitchFamily="34" charset="-34"/>
              </a:defRPr>
            </a:pPr>
            <a:endParaRPr lang="en-US"/>
          </a:p>
        </c:txPr>
        <c:crossAx val="17281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TH Sarabun New" panose="020B0500040200020003" pitchFamily="34" charset="-34"/>
          <a:cs typeface="TH Sarabun New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channel/UCqwGUOw0Zjl1NDQDoDkJ6XA" TargetMode="External"/><Relationship Id="rId3" Type="http://schemas.openxmlformats.org/officeDocument/2006/relationships/hyperlink" Target="#'PO2'!A1"/><Relationship Id="rId7" Type="http://schemas.openxmlformats.org/officeDocument/2006/relationships/image" Target="../media/image2.png"/><Relationship Id="rId12" Type="http://schemas.openxmlformats.org/officeDocument/2006/relationships/hyperlink" Target="#'PO5'!A1"/><Relationship Id="rId2" Type="http://schemas.openxmlformats.org/officeDocument/2006/relationships/hyperlink" Target="#'PO1'!A1"/><Relationship Id="rId1" Type="http://schemas.openxmlformats.org/officeDocument/2006/relationships/hyperlink" Target="#DataSet!A1"/><Relationship Id="rId6" Type="http://schemas.openxmlformats.org/officeDocument/2006/relationships/hyperlink" Target="#'6-Report'!A1"/><Relationship Id="rId11" Type="http://schemas.openxmlformats.org/officeDocument/2006/relationships/image" Target="../media/image4.png"/><Relationship Id="rId5" Type="http://schemas.openxmlformats.org/officeDocument/2006/relationships/hyperlink" Target="#'PO4'!A1"/><Relationship Id="rId10" Type="http://schemas.openxmlformats.org/officeDocument/2006/relationships/hyperlink" Target="https://www.youtube.com/@chunchuanclick" TargetMode="External"/><Relationship Id="rId4" Type="http://schemas.openxmlformats.org/officeDocument/2006/relationships/hyperlink" Target="#'PO3'!A1"/><Relationship Id="rId9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219074</xdr:colOff>
      <xdr:row>1</xdr:row>
      <xdr:rowOff>238125</xdr:rowOff>
    </xdr:from>
    <xdr:to>
      <xdr:col>5</xdr:col>
      <xdr:colOff>95249</xdr:colOff>
      <xdr:row>3</xdr:row>
      <xdr:rowOff>82737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96015" y="1149537"/>
          <a:ext cx="2983940" cy="457200"/>
        </a:xfrm>
        <a:prstGeom prst="roundRect">
          <a:avLst/>
        </a:prstGeom>
        <a:gradFill flip="none" rotWithShape="1">
          <a:gsLst>
            <a:gs pos="0">
              <a:schemeClr val="accent5">
                <a:lumMod val="89000"/>
              </a:schemeClr>
            </a:gs>
            <a:gs pos="23000">
              <a:schemeClr val="accent5">
                <a:lumMod val="89000"/>
              </a:schemeClr>
            </a:gs>
            <a:gs pos="69000">
              <a:schemeClr val="accent5">
                <a:lumMod val="75000"/>
              </a:schemeClr>
            </a:gs>
            <a:gs pos="97000">
              <a:schemeClr val="accent5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effectLst>
          <a:outerShdw blurRad="50800" dist="38100" dir="18900000" algn="bl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tIns="91440" rtlCol="0" anchor="ctr" anchorCtr="1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กำหนดค่าเบื้องต้น</a:t>
          </a:r>
        </a:p>
      </xdr:txBody>
    </xdr:sp>
    <xdr:clientData/>
  </xdr:twoCellAnchor>
  <xdr:twoCellAnchor>
    <xdr:from>
      <xdr:col>5</xdr:col>
      <xdr:colOff>444499</xdr:colOff>
      <xdr:row>1</xdr:row>
      <xdr:rowOff>238125</xdr:rowOff>
    </xdr:from>
    <xdr:to>
      <xdr:col>9</xdr:col>
      <xdr:colOff>371474</xdr:colOff>
      <xdr:row>3</xdr:row>
      <xdr:rowOff>82737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29205" y="1149537"/>
          <a:ext cx="3034740" cy="457200"/>
        </a:xfrm>
        <a:prstGeom prst="roundRect">
          <a:avLst/>
        </a:prstGeom>
        <a:solidFill>
          <a:srgbClr val="00B0F0"/>
        </a:solidFill>
        <a:effectLst>
          <a:outerShdw blurRad="50800" dist="38100" dir="18900000" algn="bl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tIns="91440" rtlCol="0" anchor="ctr" anchorCtr="1"/>
        <a:lstStyle/>
        <a:p>
          <a:pPr algn="ctr"/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Power of Academic Excellence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447674</xdr:colOff>
      <xdr:row>3</xdr:row>
      <xdr:rowOff>196813</xdr:rowOff>
    </xdr:from>
    <xdr:to>
      <xdr:col>9</xdr:col>
      <xdr:colOff>361949</xdr:colOff>
      <xdr:row>5</xdr:row>
      <xdr:rowOff>41425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332380" y="1720813"/>
          <a:ext cx="3022040" cy="457200"/>
        </a:xfrm>
        <a:prstGeom prst="roundRect">
          <a:avLst/>
        </a:prstGeom>
        <a:solidFill>
          <a:srgbClr val="00B0F0"/>
        </a:solidFill>
        <a:effectLst>
          <a:outerShdw blurRad="50800" dist="38100" dir="18900000" algn="bl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tIns="91440" rtlCol="0" anchor="ctr" anchorCtr="1"/>
        <a:lstStyle/>
        <a:p>
          <a:pPr algn="ctr"/>
          <a:r>
            <a:rPr lang="en-US" sz="1800" b="1">
              <a:latin typeface="TH SarabunPSK" panose="020B0500040200020003" pitchFamily="34" charset="-34"/>
              <a:cs typeface="TH SarabunPSK" panose="020B0500040200020003" pitchFamily="34" charset="-34"/>
            </a:rPr>
            <a:t>Power of Research &amp; Innovation</a:t>
          </a:r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447674</xdr:colOff>
      <xdr:row>5</xdr:row>
      <xdr:rowOff>155501</xdr:rowOff>
    </xdr:from>
    <xdr:to>
      <xdr:col>9</xdr:col>
      <xdr:colOff>361949</xdr:colOff>
      <xdr:row>7</xdr:row>
      <xdr:rowOff>113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332380" y="2292089"/>
          <a:ext cx="3022040" cy="457200"/>
        </a:xfrm>
        <a:prstGeom prst="roundRect">
          <a:avLst/>
        </a:prstGeom>
        <a:solidFill>
          <a:srgbClr val="00B0F0"/>
        </a:solidFill>
        <a:effectLst>
          <a:outerShdw blurRad="50800" dist="38100" dir="18900000" algn="bl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tIns="91440" rtlCol="0" anchor="ctr" anchorCtr="1"/>
        <a:lstStyle/>
        <a:p>
          <a:pPr algn="ctr"/>
          <a:r>
            <a:rPr lang="en-US" sz="1800" b="1">
              <a:latin typeface="TH SarabunPSK" panose="020B0500040200020003" pitchFamily="34" charset="-34"/>
              <a:cs typeface="TH SarabunPSK" panose="020B0500040200020003" pitchFamily="34" charset="-34"/>
            </a:rPr>
            <a:t>Power of Student &amp; Alumni</a:t>
          </a:r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447674</xdr:colOff>
      <xdr:row>7</xdr:row>
      <xdr:rowOff>114189</xdr:rowOff>
    </xdr:from>
    <xdr:to>
      <xdr:col>9</xdr:col>
      <xdr:colOff>361949</xdr:colOff>
      <xdr:row>8</xdr:row>
      <xdr:rowOff>227741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332380" y="2863365"/>
          <a:ext cx="3022040" cy="457200"/>
        </a:xfrm>
        <a:prstGeom prst="roundRect">
          <a:avLst/>
        </a:prstGeom>
        <a:solidFill>
          <a:srgbClr val="00B0F0"/>
        </a:solidFill>
        <a:effectLst>
          <a:outerShdw blurRad="50800" dist="38100" dir="18900000" algn="bl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tIns="91440" rtlCol="0" anchor="ctr" anchorCtr="1"/>
        <a:lstStyle/>
        <a:p>
          <a:pPr algn="ctr"/>
          <a:r>
            <a:rPr lang="en-US" sz="1800" b="1">
              <a:latin typeface="TH SarabunPSK" panose="020B0500040200020003" pitchFamily="34" charset="-34"/>
              <a:cs typeface="TH SarabunPSK" panose="020B0500040200020003" pitchFamily="34" charset="-34"/>
            </a:rPr>
            <a:t>Power of Community Engagement</a:t>
          </a:r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447674</xdr:colOff>
      <xdr:row>10</xdr:row>
      <xdr:rowOff>225798</xdr:rowOff>
    </xdr:from>
    <xdr:to>
      <xdr:col>9</xdr:col>
      <xdr:colOff>361949</xdr:colOff>
      <xdr:row>11</xdr:row>
      <xdr:rowOff>301998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332380" y="4005916"/>
          <a:ext cx="3022040" cy="457200"/>
        </a:xfrm>
        <a:prstGeom prst="roundRect">
          <a:avLst/>
        </a:prstGeom>
        <a:solidFill>
          <a:srgbClr val="00B050"/>
        </a:solidFill>
        <a:effectLst>
          <a:outerShdw blurRad="50800" dist="38100" dir="18900000" algn="bl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tIns="91440" rtlCol="0" anchor="ctr" anchorCtr="1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พฤติกรรมการปฏิบัติงาน</a:t>
          </a:r>
        </a:p>
      </xdr:txBody>
    </xdr:sp>
    <xdr:clientData/>
  </xdr:twoCellAnchor>
  <xdr:twoCellAnchor>
    <xdr:from>
      <xdr:col>9</xdr:col>
      <xdr:colOff>720724</xdr:colOff>
      <xdr:row>1</xdr:row>
      <xdr:rowOff>238125</xdr:rowOff>
    </xdr:from>
    <xdr:to>
      <xdr:col>13</xdr:col>
      <xdr:colOff>711199</xdr:colOff>
      <xdr:row>3</xdr:row>
      <xdr:rowOff>82737</xdr:rowOff>
    </xdr:to>
    <xdr:sp macro="" textlink="">
      <xdr:nvSpPr>
        <xdr:cNvPr id="8" name="Rounded Rectangle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713195" y="1149537"/>
          <a:ext cx="3277533" cy="457200"/>
        </a:xfrm>
        <a:prstGeom prst="roundRect">
          <a:avLst/>
        </a:prstGeom>
        <a:solidFill>
          <a:srgbClr val="7030A0"/>
        </a:solidFill>
        <a:effectLst>
          <a:outerShdw blurRad="50800" dist="38100" dir="18900000" algn="bl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tIns="91440" rtlCol="0" anchor="ctr" anchorCtr="1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สรุปรายงาน</a:t>
          </a:r>
        </a:p>
      </xdr:txBody>
    </xdr:sp>
    <xdr:clientData/>
  </xdr:twoCellAnchor>
  <xdr:twoCellAnchor editAs="oneCell">
    <xdr:from>
      <xdr:col>1</xdr:col>
      <xdr:colOff>0</xdr:colOff>
      <xdr:row>0</xdr:row>
      <xdr:rowOff>152400</xdr:rowOff>
    </xdr:from>
    <xdr:to>
      <xdr:col>14</xdr:col>
      <xdr:colOff>371475</xdr:colOff>
      <xdr:row>1</xdr:row>
      <xdr:rowOff>57947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6170B84-2FA8-4507-BBC9-8C22766F2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941" y="152400"/>
          <a:ext cx="10651005" cy="816959"/>
        </a:xfrm>
        <a:prstGeom prst="rect">
          <a:avLst/>
        </a:prstGeom>
      </xdr:spPr>
    </xdr:pic>
    <xdr:clientData/>
  </xdr:twoCellAnchor>
  <xdr:twoCellAnchor editAs="oneCell">
    <xdr:from>
      <xdr:col>2</xdr:col>
      <xdr:colOff>319104</xdr:colOff>
      <xdr:row>5</xdr:row>
      <xdr:rowOff>177800</xdr:rowOff>
    </xdr:from>
    <xdr:to>
      <xdr:col>3</xdr:col>
      <xdr:colOff>665146</xdr:colOff>
      <xdr:row>9</xdr:row>
      <xdr:rowOff>276225</xdr:rowOff>
    </xdr:to>
    <xdr:pic>
      <xdr:nvPicPr>
        <xdr:cNvPr id="10" name="Picture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A5014EE-32E3-4631-B1EA-9F3F854F3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8504" y="2298700"/>
          <a:ext cx="1120742" cy="1358900"/>
        </a:xfrm>
        <a:prstGeom prst="rect">
          <a:avLst/>
        </a:prstGeom>
      </xdr:spPr>
    </xdr:pic>
    <xdr:clientData/>
  </xdr:twoCellAnchor>
  <xdr:twoCellAnchor editAs="oneCell">
    <xdr:from>
      <xdr:col>1</xdr:col>
      <xdr:colOff>723900</xdr:colOff>
      <xdr:row>10</xdr:row>
      <xdr:rowOff>21583</xdr:rowOff>
    </xdr:from>
    <xdr:to>
      <xdr:col>4</xdr:col>
      <xdr:colOff>257175</xdr:colOff>
      <xdr:row>11</xdr:row>
      <xdr:rowOff>141561</xdr:rowOff>
    </xdr:to>
    <xdr:pic>
      <xdr:nvPicPr>
        <xdr:cNvPr id="14" name="Picture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08BB126-D0B7-49BC-AE5D-D59AD37F9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98600" y="3742683"/>
          <a:ext cx="1860550" cy="495686"/>
        </a:xfrm>
        <a:prstGeom prst="rect">
          <a:avLst/>
        </a:prstGeom>
      </xdr:spPr>
    </xdr:pic>
    <xdr:clientData/>
  </xdr:twoCellAnchor>
  <xdr:twoCellAnchor>
    <xdr:from>
      <xdr:col>5</xdr:col>
      <xdr:colOff>447674</xdr:colOff>
      <xdr:row>9</xdr:row>
      <xdr:rowOff>35523</xdr:rowOff>
    </xdr:from>
    <xdr:to>
      <xdr:col>9</xdr:col>
      <xdr:colOff>361949</xdr:colOff>
      <xdr:row>10</xdr:row>
      <xdr:rowOff>111723</xdr:rowOff>
    </xdr:to>
    <xdr:sp macro="" textlink="">
      <xdr:nvSpPr>
        <xdr:cNvPr id="9" name="Rounded Rectangle 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1806CF3-7A8A-2D39-8605-D6F42D9BD53A}"/>
            </a:ext>
          </a:extLst>
        </xdr:cNvPr>
        <xdr:cNvSpPr/>
      </xdr:nvSpPr>
      <xdr:spPr>
        <a:xfrm>
          <a:off x="4332380" y="3434641"/>
          <a:ext cx="3022040" cy="457200"/>
        </a:xfrm>
        <a:prstGeom prst="roundRect">
          <a:avLst/>
        </a:prstGeom>
        <a:solidFill>
          <a:srgbClr val="00B0F0"/>
        </a:solidFill>
        <a:effectLst>
          <a:outerShdw blurRad="50800" dist="38100" dir="18900000" algn="bl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tIns="91440" rtlCol="0" anchor="ctr" anchorCtr="1"/>
        <a:lstStyle/>
        <a:p>
          <a:pPr algn="ctr"/>
          <a:r>
            <a:rPr lang="en-US" sz="1800" b="1">
              <a:latin typeface="TH SarabunPSK" panose="020B0500040200020003" pitchFamily="34" charset="-34"/>
              <a:cs typeface="TH SarabunPSK" panose="020B0500040200020003" pitchFamily="34" charset="-34"/>
            </a:rPr>
            <a:t>Power of Next Learning Ecosystem</a:t>
          </a:r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180975</xdr:colOff>
      <xdr:row>0</xdr:row>
      <xdr:rowOff>161925</xdr:rowOff>
    </xdr:from>
    <xdr:to>
      <xdr:col>13</xdr:col>
      <xdr:colOff>0</xdr:colOff>
      <xdr:row>1</xdr:row>
      <xdr:rowOff>295525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61925"/>
          <a:ext cx="540000" cy="549525"/>
        </a:xfrm>
        <a:prstGeom prst="rect">
          <a:avLst/>
        </a:prstGeom>
      </xdr:spPr>
    </xdr:pic>
    <xdr:clientData/>
  </xdr:twoCellAnchor>
  <xdr:twoCellAnchor>
    <xdr:from>
      <xdr:col>8</xdr:col>
      <xdr:colOff>716396</xdr:colOff>
      <xdr:row>33</xdr:row>
      <xdr:rowOff>294120</xdr:rowOff>
    </xdr:from>
    <xdr:to>
      <xdr:col>16</xdr:col>
      <xdr:colOff>202046</xdr:colOff>
      <xdr:row>42</xdr:row>
      <xdr:rowOff>277379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6B367D-3203-4303-A3CE-45520800BC5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463549</xdr:colOff>
      <xdr:row>9</xdr:row>
      <xdr:rowOff>114299</xdr:rowOff>
    </xdr:from>
    <xdr:to>
      <xdr:col>6</xdr:col>
      <xdr:colOff>1021334</xdr:colOff>
      <xdr:row>11</xdr:row>
      <xdr:rowOff>66294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1799" y="3282949"/>
          <a:ext cx="550800" cy="550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88900</xdr:colOff>
      <xdr:row>0</xdr:row>
      <xdr:rowOff>95250</xdr:rowOff>
    </xdr:from>
    <xdr:to>
      <xdr:col>13</xdr:col>
      <xdr:colOff>635000</xdr:colOff>
      <xdr:row>1</xdr:row>
      <xdr:rowOff>315850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0" y="95250"/>
          <a:ext cx="546100" cy="550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85725</xdr:colOff>
      <xdr:row>0</xdr:row>
      <xdr:rowOff>95250</xdr:rowOff>
    </xdr:from>
    <xdr:to>
      <xdr:col>12</xdr:col>
      <xdr:colOff>625725</xdr:colOff>
      <xdr:row>1</xdr:row>
      <xdr:rowOff>314575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95250"/>
          <a:ext cx="540000" cy="549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</xdr:colOff>
      <xdr:row>0</xdr:row>
      <xdr:rowOff>123825</xdr:rowOff>
    </xdr:from>
    <xdr:to>
      <xdr:col>13</xdr:col>
      <xdr:colOff>549525</xdr:colOff>
      <xdr:row>2</xdr:row>
      <xdr:rowOff>9775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EE9E93-A276-42D5-B3F9-B7133A71F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9775" y="123825"/>
          <a:ext cx="520950" cy="546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</xdr:colOff>
      <xdr:row>0</xdr:row>
      <xdr:rowOff>123825</xdr:rowOff>
    </xdr:from>
    <xdr:to>
      <xdr:col>13</xdr:col>
      <xdr:colOff>549525</xdr:colOff>
      <xdr:row>2</xdr:row>
      <xdr:rowOff>6600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123825"/>
          <a:ext cx="540000" cy="549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</xdr:colOff>
      <xdr:row>0</xdr:row>
      <xdr:rowOff>123825</xdr:rowOff>
    </xdr:from>
    <xdr:to>
      <xdr:col>13</xdr:col>
      <xdr:colOff>549525</xdr:colOff>
      <xdr:row>2</xdr:row>
      <xdr:rowOff>9775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CF9752-5619-43AD-A560-7FA2A8A49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7550" y="120650"/>
          <a:ext cx="524125" cy="5558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612775</xdr:colOff>
      <xdr:row>0</xdr:row>
      <xdr:rowOff>104775</xdr:rowOff>
    </xdr:from>
    <xdr:to>
      <xdr:col>13</xdr:col>
      <xdr:colOff>431799</xdr:colOff>
      <xdr:row>1</xdr:row>
      <xdr:rowOff>325375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104775"/>
          <a:ext cx="549275" cy="550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638175</xdr:colOff>
      <xdr:row>0</xdr:row>
      <xdr:rowOff>142874</xdr:rowOff>
    </xdr:from>
    <xdr:to>
      <xdr:col>15</xdr:col>
      <xdr:colOff>520954</xdr:colOff>
      <xdr:row>2</xdr:row>
      <xdr:rowOff>31369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1225" y="142874"/>
          <a:ext cx="550800" cy="550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Template/Template_PARec_HuSo_V21.xltx" TargetMode="External"/><Relationship Id="rId2" Type="http://schemas.openxmlformats.org/officeDocument/2006/relationships/externalLinkPath" Target="file:///D:\Template\Template_PARec_HuSo_V21.xltx" TargetMode="External"/><Relationship Id="rId1" Type="http://schemas.openxmlformats.org/officeDocument/2006/relationships/externalLinkPath" Target="/Template/Template_PARec_HuSo_V21.xlt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enu"/>
      <sheetName val="DataSet"/>
      <sheetName val="1-งานสอน"/>
      <sheetName val="2-งานวิชาการ"/>
      <sheetName val="3-งานสนับสนุนการปฏิบัติงาน"/>
      <sheetName val="4-งานตามภารกิจของคณะ"/>
      <sheetName val="5-พฤติกรรมการปฏิบัติงาน"/>
      <sheetName val="6-Report"/>
    </sheetNames>
    <sheetDataSet>
      <sheetData sheetId="0"/>
      <sheetData sheetId="1">
        <row r="25">
          <cell r="F25" t="str">
            <v>ไม่อนุมัติ</v>
          </cell>
        </row>
        <row r="66">
          <cell r="F66" t="str">
            <v>ประธานหลักสูตร - ป.ตรี</v>
          </cell>
          <cell r="H66">
            <v>26</v>
          </cell>
        </row>
        <row r="67">
          <cell r="F67" t="str">
            <v>ผู้รับผิดชอบหลักสูตร - ป.ตรี</v>
          </cell>
          <cell r="H67">
            <v>16</v>
          </cell>
        </row>
        <row r="68">
          <cell r="F68" t="str">
            <v>อาจารย์ที่ปรึกษา - ป.ตรี</v>
          </cell>
          <cell r="H68">
            <v>12</v>
          </cell>
        </row>
        <row r="69">
          <cell r="F69" t="str">
            <v>ผู้ประสานงานรายวิชา (ศึกษาทั่วไป)</v>
          </cell>
          <cell r="H69">
            <v>12</v>
          </cell>
        </row>
        <row r="70">
          <cell r="F70" t="str">
            <v>ประธานหลักสูตร - ป.โท</v>
          </cell>
          <cell r="H70">
            <v>26</v>
          </cell>
        </row>
        <row r="71">
          <cell r="F71" t="str">
            <v>ผู้รับผิดชอบหลักสูตร - ป.โท</v>
          </cell>
          <cell r="H71">
            <v>16</v>
          </cell>
        </row>
        <row r="72">
          <cell r="F72" t="str">
            <v>อาจารย์ที่ปรึกษา - ป.โท</v>
          </cell>
          <cell r="H72">
            <v>12</v>
          </cell>
        </row>
        <row r="73">
          <cell r="F73" t="str">
            <v>ประธานหลักสูตร - ป.เอก</v>
          </cell>
          <cell r="H73">
            <v>26</v>
          </cell>
        </row>
        <row r="74">
          <cell r="F74" t="str">
            <v>ผู้รับผิดชอบหลักสูตร - ป.เอก</v>
          </cell>
          <cell r="H74">
            <v>16</v>
          </cell>
        </row>
        <row r="75">
          <cell r="F75" t="str">
            <v>อาจารย์ที่ปรึกษา - ป.เอก</v>
          </cell>
          <cell r="H75">
            <v>12</v>
          </cell>
        </row>
        <row r="76">
          <cell r="F76" t="str">
            <v>ลักษณะงาน</v>
          </cell>
          <cell r="H76" t="str">
            <v>ภาระงาน</v>
          </cell>
        </row>
        <row r="77">
          <cell r="F77" t="str">
            <v>ผู้จัดการโครงการที่ ม. อนุมัติ</v>
          </cell>
          <cell r="H77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ชุนชวนคลิก" refreshedDate="46165.895146759256" createdVersion="7" refreshedVersion="8" minRefreshableVersion="3" recordCount="5" xr:uid="{DAA7CC61-4C47-4B6B-B3B1-4F3A81C2135C}">
  <cacheSource type="worksheet">
    <worksheetSource name="Table1"/>
  </cacheSource>
  <cacheFields count="2">
    <cacheField name="คำนวนสัดส่วนการปฏิบัติงาน" numFmtId="0">
      <sharedItems count="5">
        <s v="งานสอน"/>
        <s v="งานวิชาการ"/>
        <s v="งานสนับสนุนการปฏิบัติงาน"/>
        <s v="งานคณะฯ"/>
        <s v="งานมหาวิทยาลัย"/>
      </sharedItems>
    </cacheField>
    <cacheField name="ภาระงาน" numFmtId="2">
      <sharedItems containsSemiMixedTypes="0" containsString="0" containsNumber="1" containsInteger="1" minValue="0" maxValue="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n v="36"/>
  </r>
  <r>
    <x v="1"/>
    <n v="0"/>
  </r>
  <r>
    <x v="2"/>
    <n v="0"/>
  </r>
  <r>
    <x v="3"/>
    <n v="0"/>
  </r>
  <r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A2E148-6F7E-412E-9B25-489B3881A0E3}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 chartFormat="3">
  <location ref="V20:X26" firstHeaderRow="0" firstDataRow="1" firstDataCol="1"/>
  <pivotFields count="2">
    <pivotField axis="axisRow" showAll="0">
      <items count="6">
        <item x="3"/>
        <item x="4"/>
        <item x="1"/>
        <item x="2"/>
        <item x="0"/>
        <item t="default"/>
      </items>
    </pivotField>
    <pivotField dataField="1" numFmtId="2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ภาระงาน" fld="1" baseField="0" baseItem="0"/>
    <dataField name="Sum of ภาระงาน2" fld="1" showDataAs="percentOfTotal" baseField="0" baseItem="0" numFmtId="10"/>
  </dataFields>
  <formats count="6">
    <format dxfId="37">
      <pivotArea type="all" dataOnly="0" outline="0" fieldPosition="0"/>
    </format>
    <format dxfId="36">
      <pivotArea outline="0" collapsedLevelsAreSubtotals="1" fieldPosition="0"/>
    </format>
    <format dxfId="35">
      <pivotArea field="0" type="button" dataOnly="0" labelOnly="1" outline="0" axis="axisRow" fieldPosition="0"/>
    </format>
    <format dxfId="34">
      <pivotArea dataOnly="0" labelOnly="1" fieldPosition="0">
        <references count="1">
          <reference field="0" count="0"/>
        </references>
      </pivotArea>
    </format>
    <format dxfId="33">
      <pivotArea dataOnly="0" labelOnly="1" grandRow="1" outline="0" fieldPosition="0"/>
    </format>
    <format dxfId="3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DF8F79-019C-418D-AE68-1E41BAD8A7D2}" name="Table1" displayName="Table1" ref="S20:T25" totalsRowShown="0" headerRowDxfId="31" dataDxfId="30">
  <autoFilter ref="S20:T25" xr:uid="{19DF8F79-019C-418D-AE68-1E41BAD8A7D2}"/>
  <tableColumns count="2">
    <tableColumn id="1" xr3:uid="{F9CE9EE8-367C-4407-9B9E-94E5F5A9AB73}" name="คำนวนสัดส่วนการปฏิบัติงาน" dataDxfId="29"/>
    <tableColumn id="2" xr3:uid="{50E32CD2-D8C2-488D-9B98-A8D3C49EEB7A}" name="ภาระงาน" dataDxfId="28">
      <calculatedColumnFormula>H9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jpeg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1.xml"/><Relationship Id="rId6" Type="http://schemas.openxmlformats.org/officeDocument/2006/relationships/comments" Target="../comments8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8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44"/>
  <sheetViews>
    <sheetView showGridLines="0" showRowColHeaders="0" zoomScale="85" zoomScaleNormal="85" workbookViewId="0">
      <selection sqref="A1:O1"/>
    </sheetView>
  </sheetViews>
  <sheetFormatPr defaultColWidth="10.1640625" defaultRowHeight="24" x14ac:dyDescent="0.8"/>
  <cols>
    <col min="1" max="11" width="10.1640625" style="4"/>
    <col min="12" max="12" width="12.5" style="4" customWidth="1"/>
    <col min="13" max="16384" width="10.1640625" style="4"/>
  </cols>
  <sheetData>
    <row r="1" spans="1:17" s="3" customFormat="1" ht="71.5" x14ac:dyDescent="2.2999999999999998">
      <c r="A1" s="305"/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1"/>
      <c r="Q1" s="2"/>
    </row>
    <row r="8" spans="1:17" ht="27" x14ac:dyDescent="0.9">
      <c r="L8" s="7" t="s">
        <v>398</v>
      </c>
      <c r="M8" s="306" t="s">
        <v>399</v>
      </c>
      <c r="N8" s="306"/>
    </row>
    <row r="9" spans="1:17" x14ac:dyDescent="0.8">
      <c r="L9" s="7" t="s">
        <v>393</v>
      </c>
      <c r="M9" s="7" t="s">
        <v>403</v>
      </c>
    </row>
    <row r="10" spans="1:17" ht="30" x14ac:dyDescent="1">
      <c r="L10" s="8" t="s">
        <v>225</v>
      </c>
      <c r="M10" s="8" t="s">
        <v>352</v>
      </c>
      <c r="N10" s="8"/>
      <c r="O10" s="7"/>
    </row>
    <row r="11" spans="1:17" ht="30" x14ac:dyDescent="1">
      <c r="L11" s="5"/>
      <c r="M11" s="8" t="s">
        <v>354</v>
      </c>
      <c r="N11" s="8"/>
      <c r="O11" s="7"/>
    </row>
    <row r="12" spans="1:17" ht="30" x14ac:dyDescent="1">
      <c r="M12" s="8" t="s">
        <v>353</v>
      </c>
      <c r="N12" s="8"/>
      <c r="O12" s="7"/>
    </row>
    <row r="13" spans="1:17" x14ac:dyDescent="0.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7" x14ac:dyDescent="0.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7" x14ac:dyDescent="0.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7" x14ac:dyDescent="0.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x14ac:dyDescent="0.8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x14ac:dyDescent="0.8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x14ac:dyDescent="0.8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x14ac:dyDescent="0.8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x14ac:dyDescent="0.8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8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8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8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8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x14ac:dyDescent="0.8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x14ac:dyDescent="0.8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x14ac:dyDescent="0.8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x14ac:dyDescent="0.8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x14ac:dyDescent="0.8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x14ac:dyDescent="0.8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8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8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8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8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x14ac:dyDescent="0.8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x14ac:dyDescent="0.8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x14ac:dyDescent="0.8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x14ac:dyDescent="0.8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x14ac:dyDescent="0.8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</sheetData>
  <sheetProtection sheet="1" selectLockedCells="1" selectUnlockedCells="1"/>
  <mergeCells count="2">
    <mergeCell ref="A1:O1"/>
    <mergeCell ref="M8:N8"/>
  </mergeCells>
  <pageMargins left="0.7" right="0.7" top="0.75" bottom="0.75" header="0.3" footer="0.3"/>
  <pageSetup paperSize="9" orientation="portrait" r:id="rId1"/>
  <drawing r:id="rId2"/>
  <legacyDrawing r:id="rId3"/>
  <picture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7030A0"/>
    <pageSetUpPr fitToPage="1"/>
  </sheetPr>
  <dimension ref="B1:X174"/>
  <sheetViews>
    <sheetView showGridLines="0" zoomScale="90" zoomScaleNormal="90" workbookViewId="0">
      <pane ySplit="2" topLeftCell="A3" activePane="bottomLeft" state="frozen"/>
      <selection pane="bottomLeft"/>
    </sheetView>
  </sheetViews>
  <sheetFormatPr defaultColWidth="9" defaultRowHeight="24" x14ac:dyDescent="0.8"/>
  <cols>
    <col min="1" max="1" width="3.9140625" style="14" customWidth="1"/>
    <col min="2" max="2" width="4.83203125" style="14" customWidth="1"/>
    <col min="3" max="3" width="11.4140625" style="14" customWidth="1"/>
    <col min="4" max="4" width="13.1640625" style="14" customWidth="1"/>
    <col min="5" max="5" width="12.4140625" style="14" customWidth="1"/>
    <col min="6" max="6" width="9.4140625" style="14" customWidth="1"/>
    <col min="7" max="7" width="9.83203125" style="14" customWidth="1"/>
    <col min="8" max="8" width="3.9140625" style="14" customWidth="1"/>
    <col min="9" max="9" width="14" style="14" customWidth="1"/>
    <col min="10" max="10" width="13.83203125" style="14" customWidth="1"/>
    <col min="11" max="11" width="8.5" style="14" customWidth="1"/>
    <col min="12" max="12" width="9.83203125" style="14" customWidth="1"/>
    <col min="13" max="13" width="10.33203125" style="14" customWidth="1"/>
    <col min="14" max="16" width="0" style="14" hidden="1" customWidth="1"/>
    <col min="17" max="18" width="9" style="14"/>
    <col min="19" max="19" width="25.33203125" style="14" customWidth="1"/>
    <col min="20" max="20" width="10.9140625" style="14" customWidth="1"/>
    <col min="21" max="21" width="9" style="14"/>
    <col min="22" max="22" width="14.58203125" style="14" bestFit="1" customWidth="1"/>
    <col min="23" max="23" width="10.75" style="14" bestFit="1" customWidth="1"/>
    <col min="24" max="24" width="11.58203125" style="14" bestFit="1" customWidth="1"/>
    <col min="25" max="16384" width="9" style="14"/>
  </cols>
  <sheetData>
    <row r="1" spans="2:18" s="11" customFormat="1" ht="33" x14ac:dyDescent="1.1000000000000001">
      <c r="B1" s="567" t="s">
        <v>39</v>
      </c>
      <c r="C1" s="567"/>
      <c r="D1" s="567"/>
      <c r="E1" s="567"/>
      <c r="F1" s="567"/>
      <c r="G1" s="567"/>
      <c r="H1" s="567"/>
      <c r="I1" s="567"/>
      <c r="J1" s="567"/>
      <c r="K1" s="9">
        <f>DataSet!H5</f>
        <v>2569</v>
      </c>
      <c r="L1" s="10"/>
      <c r="M1" s="10"/>
      <c r="R1" s="12" t="s">
        <v>375</v>
      </c>
    </row>
    <row r="2" spans="2:18" s="11" customFormat="1" ht="28.5" customHeight="1" x14ac:dyDescent="1.1000000000000001">
      <c r="B2" s="573" t="s">
        <v>38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</row>
    <row r="3" spans="2:18" ht="27" x14ac:dyDescent="0.9">
      <c r="B3" s="13" t="s">
        <v>0</v>
      </c>
      <c r="D3" s="15" t="str">
        <f>IF(DataSet!D5=0,0,IF(DataSet!D5=DataSet!B12,L62,IF(DataSet!D5=DataSet!B13,L63,IF(DataSet!D5=DataSet!B14,L64,L65))))</f>
        <v>รอบที่ 2</v>
      </c>
      <c r="E3" s="14" t="str">
        <f>IF(DataSet!D5=0,0,IF(DataSet!D5=DataSet!B12,F62,IF(DataSet!D5=DataSet!B13,F63,IF(DataSet!D5=DataSet!B14,F64,F65))))</f>
        <v>1 มกราคม</v>
      </c>
      <c r="F3" s="16">
        <f>IF(DataSet!D5=0,0,IF(DataSet!D5=DataSet!B12,G62,IF(DataSet!D5=DataSet!B13,G63,IF(DataSet!D5=DataSet!B14,G64,G65))))</f>
        <v>2569</v>
      </c>
      <c r="G3" s="553" t="str">
        <f>IF(DataSet!D5=0,0,IF(DataSet!D5=DataSet!B12,H62,IF(DataSet!D5=DataSet!B13,H63,IF(DataSet!D5=DataSet!B14,H64,H65))))</f>
        <v>ถึง  30  มิถุนายน</v>
      </c>
      <c r="H3" s="553"/>
      <c r="I3" s="17">
        <f>IF(DataSet!D5=0,0,IF(DataSet!D5=DataSet!B12,J62,IF(DataSet!D5=DataSet!B13,J63,IF(DataSet!D5=DataSet!B14,J64,J65))))</f>
        <v>2569</v>
      </c>
      <c r="J3" s="18" t="s">
        <v>231</v>
      </c>
      <c r="K3" s="14" t="str">
        <f>IF(DataSet!D5=DataSet!B12,K62,IF(DataSet!D5=DataSet!B13,K63,IF(DataSet!D5=DataSet!B14,K64,K65)))</f>
        <v>พนักงานมหาวิทยาลัย</v>
      </c>
    </row>
    <row r="4" spans="2:18" x14ac:dyDescent="0.8">
      <c r="B4" s="19" t="s">
        <v>1</v>
      </c>
      <c r="D4" s="579">
        <f>DataSet!D6</f>
        <v>0</v>
      </c>
      <c r="E4" s="579"/>
      <c r="F4" s="579"/>
      <c r="G4" s="19" t="s">
        <v>3</v>
      </c>
      <c r="H4" s="579">
        <f>DataSet!H6</f>
        <v>0</v>
      </c>
      <c r="I4" s="579"/>
      <c r="J4" s="18" t="s">
        <v>128</v>
      </c>
      <c r="K4" s="579" t="str">
        <f>DataSet!D7</f>
        <v>คณะมนุษยศาสตร์และสังคมศาสตร์</v>
      </c>
      <c r="L4" s="579"/>
      <c r="M4" s="579"/>
    </row>
    <row r="5" spans="2:18" x14ac:dyDescent="0.8">
      <c r="B5" s="19" t="s">
        <v>37</v>
      </c>
      <c r="D5" s="579" t="str">
        <f>IF(DataSet!L6= "ประธานหลักสูตร", DataSet!H7, DataSet!D8)</f>
        <v>-</v>
      </c>
      <c r="E5" s="579"/>
      <c r="F5" s="579"/>
      <c r="G5" s="19" t="s">
        <v>3</v>
      </c>
      <c r="H5" s="579">
        <f>IF(DataSet!D7=0,"กรุณาเลือกสังกัดในแท็บ DataSet",DataSet!L6)</f>
        <v>0</v>
      </c>
      <c r="I5" s="579"/>
      <c r="J5" s="579"/>
      <c r="K5" s="579"/>
    </row>
    <row r="6" spans="2:18" ht="9.75" customHeight="1" thickBot="1" x14ac:dyDescent="0.85"/>
    <row r="7" spans="2:18" x14ac:dyDescent="0.8">
      <c r="B7" s="574" t="s">
        <v>298</v>
      </c>
      <c r="C7" s="575"/>
      <c r="D7" s="575"/>
      <c r="E7" s="575"/>
      <c r="F7" s="575"/>
      <c r="G7" s="575"/>
      <c r="H7" s="576"/>
      <c r="I7" s="576"/>
      <c r="J7" s="576"/>
      <c r="K7" s="576"/>
      <c r="L7" s="576"/>
      <c r="M7" s="577"/>
    </row>
    <row r="8" spans="2:18" x14ac:dyDescent="0.8">
      <c r="B8" s="534" t="s">
        <v>12</v>
      </c>
      <c r="C8" s="533"/>
      <c r="D8" s="533"/>
      <c r="E8" s="533"/>
      <c r="F8" s="533"/>
      <c r="G8" s="578"/>
      <c r="H8" s="578" t="s">
        <v>202</v>
      </c>
      <c r="I8" s="580"/>
      <c r="J8" s="580"/>
      <c r="K8" s="580"/>
      <c r="L8" s="21" t="s">
        <v>14</v>
      </c>
      <c r="M8" s="22">
        <f>(H9*70)/DataSet!M5</f>
        <v>25.2</v>
      </c>
    </row>
    <row r="9" spans="2:18" x14ac:dyDescent="0.8">
      <c r="B9" s="568" t="s">
        <v>445</v>
      </c>
      <c r="C9" s="569"/>
      <c r="D9" s="569"/>
      <c r="E9" s="569"/>
      <c r="F9" s="569"/>
      <c r="G9" s="570"/>
      <c r="H9" s="535">
        <f>'PO1'!L7</f>
        <v>36</v>
      </c>
      <c r="I9" s="536"/>
      <c r="J9" s="241">
        <f>H9</f>
        <v>36</v>
      </c>
      <c r="K9" s="236" t="s">
        <v>43</v>
      </c>
      <c r="L9" s="237" t="s">
        <v>453</v>
      </c>
      <c r="M9" s="287">
        <f>J9*25.2/36</f>
        <v>25.2</v>
      </c>
    </row>
    <row r="10" spans="2:18" x14ac:dyDescent="0.8">
      <c r="B10" s="238" t="s">
        <v>446</v>
      </c>
      <c r="C10" s="239"/>
      <c r="D10" s="239"/>
      <c r="E10" s="239"/>
      <c r="F10" s="239"/>
      <c r="G10" s="239"/>
      <c r="H10" s="537">
        <f>IF(SUM('PO1'!N9:N14)&lt;=36,"-",(SUM('PO1'!N9:N14)-H9))</f>
        <v>11.25</v>
      </c>
      <c r="I10" s="538"/>
      <c r="J10" s="581">
        <f>SUM(H10:I17)</f>
        <v>11.25</v>
      </c>
      <c r="K10" s="240" t="s">
        <v>43</v>
      </c>
      <c r="L10" s="589" t="s">
        <v>453</v>
      </c>
      <c r="M10" s="592">
        <f>J10*25.2/36</f>
        <v>7.875</v>
      </c>
    </row>
    <row r="11" spans="2:18" x14ac:dyDescent="0.8">
      <c r="B11" s="584" t="s">
        <v>447</v>
      </c>
      <c r="C11" s="585"/>
      <c r="D11" s="585"/>
      <c r="E11" s="585"/>
      <c r="F11" s="585"/>
      <c r="G11" s="586"/>
      <c r="H11" s="537">
        <f>'PO1'!L16</f>
        <v>0</v>
      </c>
      <c r="I11" s="539"/>
      <c r="J11" s="582"/>
      <c r="K11" s="240" t="s">
        <v>43</v>
      </c>
      <c r="L11" s="590"/>
      <c r="M11" s="593"/>
    </row>
    <row r="12" spans="2:18" x14ac:dyDescent="0.8">
      <c r="B12" s="584" t="s">
        <v>448</v>
      </c>
      <c r="C12" s="585"/>
      <c r="D12" s="585"/>
      <c r="E12" s="585"/>
      <c r="F12" s="585"/>
      <c r="G12" s="586"/>
      <c r="H12" s="537">
        <f>'PO2'!K7</f>
        <v>0</v>
      </c>
      <c r="I12" s="539"/>
      <c r="J12" s="582"/>
      <c r="K12" s="240" t="s">
        <v>43</v>
      </c>
      <c r="L12" s="590"/>
      <c r="M12" s="593"/>
    </row>
    <row r="13" spans="2:18" x14ac:dyDescent="0.8">
      <c r="B13" s="584" t="s">
        <v>449</v>
      </c>
      <c r="C13" s="585"/>
      <c r="D13" s="585"/>
      <c r="E13" s="585"/>
      <c r="F13" s="585"/>
      <c r="G13" s="586"/>
      <c r="H13" s="537">
        <f>'PO3'!L7</f>
        <v>0</v>
      </c>
      <c r="I13" s="539"/>
      <c r="J13" s="582"/>
      <c r="K13" s="240" t="s">
        <v>43</v>
      </c>
      <c r="L13" s="590"/>
      <c r="M13" s="593"/>
    </row>
    <row r="14" spans="2:18" x14ac:dyDescent="0.8">
      <c r="B14" s="238" t="s">
        <v>450</v>
      </c>
      <c r="C14" s="239"/>
      <c r="D14" s="239"/>
      <c r="E14" s="239"/>
      <c r="F14" s="239"/>
      <c r="G14" s="248"/>
      <c r="H14" s="537">
        <f>'PO4'!L7</f>
        <v>0</v>
      </c>
      <c r="I14" s="539"/>
      <c r="J14" s="582"/>
      <c r="K14" s="240"/>
      <c r="L14" s="590"/>
      <c r="M14" s="593"/>
    </row>
    <row r="15" spans="2:18" x14ac:dyDescent="0.8">
      <c r="B15" s="238" t="s">
        <v>451</v>
      </c>
      <c r="C15" s="239"/>
      <c r="D15" s="239"/>
      <c r="E15" s="239"/>
      <c r="F15" s="239"/>
      <c r="G15" s="248"/>
      <c r="H15" s="537">
        <f>'PO5'!L7</f>
        <v>0</v>
      </c>
      <c r="I15" s="539"/>
      <c r="J15" s="582"/>
      <c r="K15" s="240"/>
      <c r="L15" s="590"/>
      <c r="M15" s="593"/>
    </row>
    <row r="16" spans="2:18" x14ac:dyDescent="0.8">
      <c r="B16" s="238" t="s">
        <v>442</v>
      </c>
      <c r="C16" s="239"/>
      <c r="D16" s="239"/>
      <c r="E16" s="239"/>
      <c r="F16" s="239"/>
      <c r="G16" s="248"/>
      <c r="H16" s="537">
        <f>'4-งานตามภารกิจของคณะ'!L6</f>
        <v>0</v>
      </c>
      <c r="I16" s="539"/>
      <c r="J16" s="582"/>
      <c r="K16" s="240"/>
      <c r="L16" s="590"/>
      <c r="M16" s="593"/>
    </row>
    <row r="17" spans="2:24" x14ac:dyDescent="0.8">
      <c r="B17" s="571" t="s">
        <v>452</v>
      </c>
      <c r="C17" s="572"/>
      <c r="D17" s="572"/>
      <c r="E17" s="572"/>
      <c r="F17" s="572"/>
      <c r="G17" s="572"/>
      <c r="H17" s="537">
        <f>'4-งานตามภารกิจของคณะ'!L17</f>
        <v>0</v>
      </c>
      <c r="I17" s="539"/>
      <c r="J17" s="583"/>
      <c r="K17" s="240" t="s">
        <v>43</v>
      </c>
      <c r="L17" s="591"/>
      <c r="M17" s="594"/>
    </row>
    <row r="18" spans="2:24" ht="27.5" thickBot="1" x14ac:dyDescent="0.95">
      <c r="B18" s="544" t="s">
        <v>142</v>
      </c>
      <c r="C18" s="545"/>
      <c r="D18" s="545"/>
      <c r="E18" s="545"/>
      <c r="F18" s="545"/>
      <c r="G18" s="546"/>
      <c r="H18" s="587" t="str">
        <f>"( "&amp;ROUND(SUM(H9:I17),2)&amp;" )"</f>
        <v>( 47.25 )</v>
      </c>
      <c r="I18" s="588"/>
      <c r="J18" s="26">
        <f>IF(DataSet!M5=0,0,IF(SUM(H9:H17)&gt;DataSet!M5,70,(SUM(H9:H17)*70)/DataSet!M5))</f>
        <v>33.075000000000003</v>
      </c>
      <c r="K18" s="27" t="s">
        <v>16</v>
      </c>
      <c r="L18" s="28"/>
      <c r="M18" s="286"/>
    </row>
    <row r="19" spans="2:24" ht="24.5" thickBot="1" x14ac:dyDescent="0.85">
      <c r="V19" s="24"/>
      <c r="W19" s="24"/>
      <c r="X19" s="24"/>
    </row>
    <row r="20" spans="2:24" x14ac:dyDescent="0.8">
      <c r="B20" s="574" t="s">
        <v>288</v>
      </c>
      <c r="C20" s="575"/>
      <c r="D20" s="575"/>
      <c r="E20" s="575"/>
      <c r="F20" s="575"/>
      <c r="G20" s="575"/>
      <c r="H20" s="575"/>
      <c r="I20" s="575"/>
      <c r="J20" s="575"/>
      <c r="K20" s="575"/>
      <c r="L20" s="575"/>
      <c r="M20" s="577"/>
      <c r="S20" s="23" t="s">
        <v>299</v>
      </c>
      <c r="T20" s="23" t="s">
        <v>43</v>
      </c>
      <c r="V20" s="291" t="s">
        <v>303</v>
      </c>
      <c r="W20" s="292" t="s">
        <v>302</v>
      </c>
      <c r="X20" s="292" t="s">
        <v>305</v>
      </c>
    </row>
    <row r="21" spans="2:24" x14ac:dyDescent="0.8">
      <c r="B21" s="547" t="s">
        <v>289</v>
      </c>
      <c r="C21" s="548"/>
      <c r="D21" s="548"/>
      <c r="E21" s="548"/>
      <c r="F21" s="548"/>
      <c r="G21" s="548"/>
      <c r="H21" s="548"/>
      <c r="I21" s="548"/>
      <c r="J21" s="548"/>
      <c r="K21" s="549"/>
      <c r="L21" s="29" t="s">
        <v>13</v>
      </c>
      <c r="M21" s="30" t="s">
        <v>14</v>
      </c>
      <c r="S21" s="14" t="s">
        <v>144</v>
      </c>
      <c r="T21" s="25">
        <f>H9</f>
        <v>36</v>
      </c>
      <c r="V21" s="293" t="s">
        <v>300</v>
      </c>
      <c r="W21" s="595">
        <v>0</v>
      </c>
      <c r="X21" s="294">
        <v>0</v>
      </c>
    </row>
    <row r="22" spans="2:24" x14ac:dyDescent="0.8">
      <c r="B22" s="540" t="s">
        <v>290</v>
      </c>
      <c r="C22" s="541"/>
      <c r="D22" s="541"/>
      <c r="E22" s="541"/>
      <c r="F22" s="541"/>
      <c r="G22" s="541"/>
      <c r="H22" s="541"/>
      <c r="I22" s="541"/>
      <c r="J22" s="541"/>
      <c r="K22" s="541"/>
      <c r="L22" s="31">
        <v>2</v>
      </c>
      <c r="M22" s="32">
        <f>'5-พฤติกรรมการปฏิบัติงาน'!K7</f>
        <v>2</v>
      </c>
      <c r="S22" s="14" t="s">
        <v>145</v>
      </c>
      <c r="T22" s="25">
        <f>H11</f>
        <v>0</v>
      </c>
      <c r="V22" s="293" t="s">
        <v>301</v>
      </c>
      <c r="W22" s="595">
        <v>0</v>
      </c>
      <c r="X22" s="294">
        <v>0</v>
      </c>
    </row>
    <row r="23" spans="2:24" x14ac:dyDescent="0.8">
      <c r="B23" s="540" t="s">
        <v>291</v>
      </c>
      <c r="C23" s="541"/>
      <c r="D23" s="541"/>
      <c r="E23" s="541"/>
      <c r="F23" s="541"/>
      <c r="G23" s="541"/>
      <c r="H23" s="541"/>
      <c r="I23" s="541"/>
      <c r="J23" s="541"/>
      <c r="K23" s="541"/>
      <c r="L23" s="31">
        <v>1</v>
      </c>
      <c r="M23" s="32">
        <f>'5-พฤติกรรมการปฏิบัติงาน'!K18</f>
        <v>1</v>
      </c>
      <c r="S23" s="14" t="s">
        <v>146</v>
      </c>
      <c r="T23" s="25">
        <f>H12</f>
        <v>0</v>
      </c>
      <c r="V23" s="293" t="s">
        <v>145</v>
      </c>
      <c r="W23" s="595">
        <v>0</v>
      </c>
      <c r="X23" s="294">
        <v>0</v>
      </c>
    </row>
    <row r="24" spans="2:24" x14ac:dyDescent="0.8">
      <c r="B24" s="540" t="s">
        <v>292</v>
      </c>
      <c r="C24" s="541"/>
      <c r="D24" s="541"/>
      <c r="E24" s="541"/>
      <c r="F24" s="541"/>
      <c r="G24" s="541"/>
      <c r="H24" s="541"/>
      <c r="I24" s="541"/>
      <c r="J24" s="541"/>
      <c r="K24" s="541"/>
      <c r="L24" s="31">
        <v>2</v>
      </c>
      <c r="M24" s="32">
        <f>'5-พฤติกรรมการปฏิบัติงาน'!K26</f>
        <v>2</v>
      </c>
      <c r="S24" s="14" t="s">
        <v>300</v>
      </c>
      <c r="T24" s="25">
        <f>H13</f>
        <v>0</v>
      </c>
      <c r="V24" s="293" t="s">
        <v>146</v>
      </c>
      <c r="W24" s="595">
        <v>0</v>
      </c>
      <c r="X24" s="294">
        <v>0</v>
      </c>
    </row>
    <row r="25" spans="2:24" x14ac:dyDescent="0.8">
      <c r="B25" s="540" t="s">
        <v>293</v>
      </c>
      <c r="C25" s="541"/>
      <c r="D25" s="541"/>
      <c r="E25" s="541"/>
      <c r="F25" s="541"/>
      <c r="G25" s="541"/>
      <c r="H25" s="541"/>
      <c r="I25" s="541"/>
      <c r="J25" s="541"/>
      <c r="K25" s="541"/>
      <c r="L25" s="31">
        <v>1</v>
      </c>
      <c r="M25" s="32">
        <f>'5-พฤติกรรมการปฏิบัติงาน'!K34</f>
        <v>1</v>
      </c>
      <c r="S25" s="14" t="s">
        <v>301</v>
      </c>
      <c r="T25" s="25">
        <f>H17</f>
        <v>0</v>
      </c>
      <c r="V25" s="293" t="s">
        <v>144</v>
      </c>
      <c r="W25" s="595">
        <v>36</v>
      </c>
      <c r="X25" s="294">
        <v>1</v>
      </c>
    </row>
    <row r="26" spans="2:24" x14ac:dyDescent="0.8">
      <c r="B26" s="542" t="s">
        <v>294</v>
      </c>
      <c r="C26" s="543"/>
      <c r="D26" s="543"/>
      <c r="E26" s="543"/>
      <c r="F26" s="543"/>
      <c r="G26" s="543"/>
      <c r="H26" s="543"/>
      <c r="I26" s="543"/>
      <c r="J26" s="543"/>
      <c r="K26" s="543"/>
      <c r="L26" s="33">
        <v>2</v>
      </c>
      <c r="M26" s="32">
        <f>'5-พฤติกรรมการปฏิบัติงาน'!K41</f>
        <v>2</v>
      </c>
      <c r="V26" s="293" t="s">
        <v>304</v>
      </c>
      <c r="W26" s="595">
        <v>36</v>
      </c>
      <c r="X26" s="294">
        <v>1</v>
      </c>
    </row>
    <row r="27" spans="2:24" x14ac:dyDescent="0.8">
      <c r="B27" s="542" t="s">
        <v>295</v>
      </c>
      <c r="C27" s="543"/>
      <c r="D27" s="543"/>
      <c r="E27" s="543"/>
      <c r="F27" s="543"/>
      <c r="G27" s="543"/>
      <c r="H27" s="543"/>
      <c r="I27" s="543"/>
      <c r="J27" s="543"/>
      <c r="K27" s="543"/>
      <c r="L27" s="33">
        <v>2</v>
      </c>
      <c r="M27" s="32">
        <f>'5-พฤติกรรมการปฏิบัติงาน'!K49</f>
        <v>2</v>
      </c>
      <c r="V27" s="24"/>
      <c r="W27" s="24"/>
      <c r="X27" s="24"/>
    </row>
    <row r="28" spans="2:24" x14ac:dyDescent="0.8">
      <c r="B28" s="540" t="s">
        <v>296</v>
      </c>
      <c r="C28" s="541"/>
      <c r="D28" s="541"/>
      <c r="E28" s="541"/>
      <c r="F28" s="541"/>
      <c r="G28" s="541"/>
      <c r="H28" s="541"/>
      <c r="I28" s="541"/>
      <c r="J28" s="541"/>
      <c r="K28" s="541"/>
      <c r="L28" s="33">
        <v>20</v>
      </c>
      <c r="M28" s="32" t="s">
        <v>454</v>
      </c>
      <c r="V28" s="24"/>
      <c r="W28" s="24"/>
      <c r="X28" s="24"/>
    </row>
    <row r="29" spans="2:24" ht="27.5" thickBot="1" x14ac:dyDescent="0.95">
      <c r="B29" s="544" t="s">
        <v>15</v>
      </c>
      <c r="C29" s="545"/>
      <c r="D29" s="545"/>
      <c r="E29" s="545"/>
      <c r="F29" s="545"/>
      <c r="G29" s="545"/>
      <c r="H29" s="545"/>
      <c r="I29" s="545"/>
      <c r="J29" s="545"/>
      <c r="K29" s="545"/>
      <c r="L29" s="34">
        <f>SUM(L22:L28)</f>
        <v>30</v>
      </c>
      <c r="M29" s="35">
        <f>SUM(M22:M28)</f>
        <v>10</v>
      </c>
      <c r="V29" s="24"/>
      <c r="W29" s="24"/>
      <c r="X29" s="24"/>
    </row>
    <row r="30" spans="2:24" ht="24.5" thickBot="1" x14ac:dyDescent="0.85">
      <c r="V30" s="24"/>
      <c r="W30" s="24"/>
      <c r="X30" s="24"/>
    </row>
    <row r="31" spans="2:24" x14ac:dyDescent="0.8">
      <c r="B31" s="550" t="s">
        <v>17</v>
      </c>
      <c r="C31" s="551"/>
      <c r="D31" s="551"/>
      <c r="E31" s="551"/>
      <c r="F31" s="551"/>
      <c r="G31" s="551"/>
      <c r="H31" s="551"/>
      <c r="I31" s="551"/>
      <c r="J31" s="551"/>
      <c r="K31" s="551"/>
      <c r="L31" s="551"/>
      <c r="M31" s="552"/>
    </row>
    <row r="32" spans="2:24" x14ac:dyDescent="0.8">
      <c r="B32" s="534" t="s">
        <v>18</v>
      </c>
      <c r="C32" s="533"/>
      <c r="D32" s="533"/>
      <c r="E32" s="533"/>
      <c r="F32" s="20" t="s">
        <v>13</v>
      </c>
      <c r="G32" s="20" t="s">
        <v>14</v>
      </c>
      <c r="H32" s="533" t="s">
        <v>19</v>
      </c>
      <c r="I32" s="533"/>
      <c r="J32" s="533" t="s">
        <v>20</v>
      </c>
      <c r="K32" s="533"/>
      <c r="L32" s="533"/>
      <c r="M32" s="566"/>
    </row>
    <row r="33" spans="2:13" x14ac:dyDescent="0.8">
      <c r="B33" s="556" t="s">
        <v>21</v>
      </c>
      <c r="C33" s="557"/>
      <c r="D33" s="557"/>
      <c r="E33" s="557"/>
      <c r="F33" s="36">
        <v>70</v>
      </c>
      <c r="G33" s="37">
        <f>J18</f>
        <v>33.075000000000003</v>
      </c>
      <c r="H33" s="560">
        <f>G33+G34</f>
        <v>43.075000000000003</v>
      </c>
      <c r="I33" s="560"/>
      <c r="J33" s="562" t="str">
        <f>IF(H33&lt;1, "รอข้อมูล", IF(H33&lt;59.99, D60, IF(H33&lt;69.99, D59, IF(H33&lt;84.99, D58, IF(H33&lt;94.99, D57, IF(H33&gt;94.99, D56, "ผิดพลาด"))))))</f>
        <v>ระดับ 1 ต้องปรับปรุง (1-59.99)</v>
      </c>
      <c r="K33" s="562"/>
      <c r="L33" s="562"/>
      <c r="M33" s="563"/>
    </row>
    <row r="34" spans="2:13" ht="24.5" thickBot="1" x14ac:dyDescent="0.85">
      <c r="B34" s="558" t="s">
        <v>22</v>
      </c>
      <c r="C34" s="559"/>
      <c r="D34" s="559"/>
      <c r="E34" s="559"/>
      <c r="F34" s="38" t="s">
        <v>455</v>
      </c>
      <c r="G34" s="39">
        <f>M29</f>
        <v>10</v>
      </c>
      <c r="H34" s="561"/>
      <c r="I34" s="561"/>
      <c r="J34" s="564"/>
      <c r="K34" s="564"/>
      <c r="L34" s="564"/>
      <c r="M34" s="565"/>
    </row>
    <row r="35" spans="2:13" ht="8.25" customHeight="1" x14ac:dyDescent="0.8"/>
    <row r="36" spans="2:13" x14ac:dyDescent="0.8">
      <c r="B36" s="14" t="s">
        <v>28</v>
      </c>
      <c r="E36" s="554"/>
      <c r="F36" s="554"/>
      <c r="G36" s="554"/>
      <c r="H36" s="554"/>
      <c r="I36" s="554"/>
      <c r="J36" s="554"/>
      <c r="K36" s="554"/>
      <c r="L36" s="554"/>
      <c r="M36" s="554"/>
    </row>
    <row r="37" spans="2:13" ht="9" customHeight="1" x14ac:dyDescent="0.8">
      <c r="E37" s="40"/>
      <c r="F37" s="40"/>
      <c r="G37" s="40"/>
      <c r="H37" s="40"/>
      <c r="I37" s="40"/>
      <c r="J37" s="40"/>
      <c r="K37" s="40"/>
      <c r="L37" s="40"/>
      <c r="M37" s="40"/>
    </row>
    <row r="38" spans="2:13" x14ac:dyDescent="0.8">
      <c r="B38" s="14" t="s">
        <v>29</v>
      </c>
      <c r="E38" s="554"/>
      <c r="F38" s="554"/>
      <c r="G38" s="554"/>
      <c r="H38" s="554"/>
      <c r="I38" s="554"/>
      <c r="J38" s="554"/>
      <c r="K38" s="554"/>
      <c r="L38" s="554"/>
      <c r="M38" s="554"/>
    </row>
    <row r="39" spans="2:13" ht="9" customHeight="1" x14ac:dyDescent="0.8">
      <c r="E39" s="40"/>
      <c r="F39" s="40"/>
      <c r="G39" s="40"/>
      <c r="H39" s="40"/>
      <c r="I39" s="40"/>
      <c r="J39" s="40"/>
      <c r="K39" s="40"/>
      <c r="L39" s="40"/>
      <c r="M39" s="40"/>
    </row>
    <row r="40" spans="2:13" x14ac:dyDescent="0.8">
      <c r="B40" s="555" t="s">
        <v>30</v>
      </c>
      <c r="C40" s="555"/>
      <c r="D40" s="555"/>
      <c r="E40" s="555"/>
      <c r="F40" s="555"/>
      <c r="G40" s="555"/>
      <c r="H40" s="555"/>
      <c r="I40" s="555"/>
      <c r="J40" s="555"/>
      <c r="K40" s="555"/>
      <c r="L40" s="555"/>
      <c r="M40" s="555"/>
    </row>
    <row r="41" spans="2:13" ht="11.25" customHeight="1" x14ac:dyDescent="0.8"/>
    <row r="42" spans="2:13" x14ac:dyDescent="0.8">
      <c r="B42" s="14" t="s">
        <v>31</v>
      </c>
      <c r="D42" s="553"/>
      <c r="E42" s="553"/>
      <c r="F42" s="553"/>
    </row>
    <row r="43" spans="2:13" x14ac:dyDescent="0.8">
      <c r="D43" s="553" t="str">
        <f>(DataSet!H7)</f>
        <v>รศ.ดร.ยุทธพงษ์ ลีลากิจไพศาล</v>
      </c>
      <c r="E43" s="553"/>
      <c r="F43" s="553"/>
    </row>
    <row r="44" spans="2:13" ht="9" customHeight="1" x14ac:dyDescent="0.8"/>
    <row r="45" spans="2:13" ht="16.5" customHeight="1" x14ac:dyDescent="0.8"/>
    <row r="46" spans="2:13" x14ac:dyDescent="0.8">
      <c r="B46" s="14" t="s">
        <v>33</v>
      </c>
      <c r="D46" s="553" t="s">
        <v>34</v>
      </c>
      <c r="E46" s="553"/>
      <c r="F46" s="553"/>
      <c r="H46" s="14" t="s">
        <v>32</v>
      </c>
      <c r="J46" s="553"/>
      <c r="K46" s="553"/>
      <c r="L46" s="553"/>
      <c r="M46" s="553"/>
    </row>
    <row r="47" spans="2:13" x14ac:dyDescent="0.8">
      <c r="D47" s="553" t="str">
        <f>DataSet!H8</f>
        <v>ผศ.ดร.สฤษดิ์ ศรีโยธิน</v>
      </c>
      <c r="E47" s="553"/>
      <c r="F47" s="553"/>
      <c r="J47" s="553">
        <f>DataSet!D6</f>
        <v>0</v>
      </c>
      <c r="K47" s="553"/>
      <c r="L47" s="553"/>
      <c r="M47" s="553"/>
    </row>
    <row r="48" spans="2:13" s="41" customFormat="1" x14ac:dyDescent="0.8">
      <c r="G48" s="17" t="s">
        <v>35</v>
      </c>
      <c r="H48" s="14"/>
      <c r="I48" s="14"/>
      <c r="J48" s="14"/>
      <c r="K48" s="14"/>
      <c r="L48" s="14"/>
      <c r="M48" s="14"/>
    </row>
    <row r="49" spans="2:13" s="41" customFormat="1" x14ac:dyDescent="0.8">
      <c r="L49" s="42">
        <f>COUNTA('PO1'!C9:E14)</f>
        <v>6</v>
      </c>
      <c r="M49" s="42">
        <f>COUNTIF('PO1'!N9:N14,"&gt;0")</f>
        <v>6</v>
      </c>
    </row>
    <row r="50" spans="2:13" s="41" customFormat="1" x14ac:dyDescent="0.8">
      <c r="L50" s="42">
        <f>COUNTA('PO2'!#REF!,'PO2'!#REF!,'PO2'!#REF!,'PO2'!C11:E15,'PO2'!C19:E26,'PO2'!C30:E39,'PO2'!C43:E50)</f>
        <v>3</v>
      </c>
      <c r="M50" s="42" t="e">
        <f>COUNTIF('PO2'!#REF!,"&gt;0")+COUNTIF('PO2'!#REF!,"&gt;0")+COUNTIF('PO2'!#REF!,"&gt;0")+COUNTIF('PO2'!M11:M15,"&gt;0")+COUNTIF('PO2'!M19:M26,"&gt;0")+COUNTIF('PO2'!M30:M39,"&gt;0")+COUNTIF('PO2'!M43:M50,"&gt;0")</f>
        <v>#REF!</v>
      </c>
    </row>
    <row r="51" spans="2:13" s="41" customFormat="1" x14ac:dyDescent="0.8">
      <c r="L51" s="42">
        <f>COUNTA('PO4'!#REF!,'PO4'!#REF!,'PO4'!C12:H31,'PO4'!C35:H44)</f>
        <v>2</v>
      </c>
      <c r="M51" s="42" t="e">
        <f>COUNTIF('PO4'!#REF!,"&gt;0")+COUNTIF('PO4'!#REF!,"&gt;0")+COUNTIF('PO4'!N12:N31,"&gt;0")+COUNTIF('PO4'!N35:N44,"&gt;0")</f>
        <v>#REF!</v>
      </c>
    </row>
    <row r="52" spans="2:13" s="41" customFormat="1" x14ac:dyDescent="0.8">
      <c r="L52" s="42">
        <f>COUNTA('4-งานตามภารกิจของคณะ'!C8:H15)</f>
        <v>0</v>
      </c>
      <c r="M52" s="42">
        <f>COUNTIF('4-งานตามภารกิจของคณะ'!N8:N15, "&gt;0")</f>
        <v>0</v>
      </c>
    </row>
    <row r="53" spans="2:13" s="41" customFormat="1" x14ac:dyDescent="0.8">
      <c r="L53" s="42">
        <f>COUNTA('4-งานตามภารกิจของคณะ'!C19:H26)</f>
        <v>0</v>
      </c>
      <c r="M53" s="42">
        <f>COUNTIF('4-งานตามภารกิจของคณะ'!N19:N26,"&gt;0")</f>
        <v>0</v>
      </c>
    </row>
    <row r="54" spans="2:13" s="41" customFormat="1" x14ac:dyDescent="0.8">
      <c r="B54" s="43" t="s">
        <v>0</v>
      </c>
      <c r="C54" s="44" t="s">
        <v>229</v>
      </c>
      <c r="D54" s="41" t="s">
        <v>117</v>
      </c>
      <c r="E54" s="45" t="s">
        <v>224</v>
      </c>
      <c r="F54" s="41" t="s">
        <v>123</v>
      </c>
      <c r="I54" s="41" t="s">
        <v>118</v>
      </c>
      <c r="J54" s="45" t="s">
        <v>226</v>
      </c>
      <c r="K54" s="41" t="s">
        <v>124</v>
      </c>
      <c r="L54" s="42"/>
      <c r="M54" s="46"/>
    </row>
    <row r="55" spans="2:13" s="41" customFormat="1" x14ac:dyDescent="0.8">
      <c r="C55" s="44" t="s">
        <v>228</v>
      </c>
      <c r="D55" s="41" t="s">
        <v>117</v>
      </c>
      <c r="E55" s="45" t="s">
        <v>230</v>
      </c>
      <c r="F55" s="41" t="s">
        <v>232</v>
      </c>
      <c r="I55" s="41" t="s">
        <v>118</v>
      </c>
      <c r="J55" s="45" t="s">
        <v>233</v>
      </c>
      <c r="K55" s="41" t="s">
        <v>234</v>
      </c>
      <c r="M55" s="42"/>
    </row>
    <row r="56" spans="2:13" s="41" customFormat="1" x14ac:dyDescent="0.8">
      <c r="B56" s="43" t="s">
        <v>20</v>
      </c>
      <c r="D56" s="41" t="s">
        <v>23</v>
      </c>
      <c r="M56" s="42"/>
    </row>
    <row r="57" spans="2:13" s="41" customFormat="1" x14ac:dyDescent="0.8">
      <c r="D57" s="41" t="s">
        <v>24</v>
      </c>
    </row>
    <row r="58" spans="2:13" s="41" customFormat="1" x14ac:dyDescent="0.8">
      <c r="D58" s="41" t="s">
        <v>25</v>
      </c>
    </row>
    <row r="59" spans="2:13" s="41" customFormat="1" x14ac:dyDescent="0.8">
      <c r="D59" s="41" t="s">
        <v>26</v>
      </c>
    </row>
    <row r="60" spans="2:13" s="41" customFormat="1" x14ac:dyDescent="0.8">
      <c r="D60" s="41" t="s">
        <v>27</v>
      </c>
    </row>
    <row r="61" spans="2:13" s="41" customFormat="1" x14ac:dyDescent="0.8"/>
    <row r="62" spans="2:13" s="41" customFormat="1" x14ac:dyDescent="0.8">
      <c r="B62" s="43" t="s">
        <v>235</v>
      </c>
      <c r="D62" s="41" t="str">
        <f>DataSet!B12</f>
        <v>ข้าราชการ - รอบที่ 1</v>
      </c>
      <c r="F62" s="45" t="s">
        <v>230</v>
      </c>
      <c r="G62" s="42">
        <f>DataSet!H5-1</f>
        <v>2568</v>
      </c>
      <c r="H62" s="41" t="s">
        <v>232</v>
      </c>
      <c r="J62" s="42">
        <f>DataSet!H5</f>
        <v>2569</v>
      </c>
      <c r="K62" s="43" t="str">
        <f>IF(D62=DataSet!B12,"ข้าราชการ","พนักงานมหาวิทยาลัย")</f>
        <v>ข้าราชการ</v>
      </c>
      <c r="L62" s="43" t="str">
        <f>IF(D62=DataSet!B12,"รอบที่ 1","รอบที่ 2")</f>
        <v>รอบที่ 1</v>
      </c>
    </row>
    <row r="63" spans="2:13" s="41" customFormat="1" x14ac:dyDescent="0.8">
      <c r="D63" s="41" t="str">
        <f>DataSet!B13</f>
        <v>ข้าราชการ - รอบที่ 2</v>
      </c>
      <c r="F63" s="45" t="s">
        <v>233</v>
      </c>
      <c r="G63" s="42">
        <f>J62</f>
        <v>2569</v>
      </c>
      <c r="H63" s="41" t="s">
        <v>234</v>
      </c>
      <c r="J63" s="42">
        <f>J62</f>
        <v>2569</v>
      </c>
      <c r="K63" s="43" t="str">
        <f>IF(D63=DataSet!B13,"ข้าราชการ","พนักงานมหาวิทยาลัย")</f>
        <v>ข้าราชการ</v>
      </c>
      <c r="L63" s="43" t="str">
        <f>IF(D63=DataSet!B13,"รอบที่ 2","รอบที่ 1")</f>
        <v>รอบที่ 2</v>
      </c>
    </row>
    <row r="64" spans="2:13" s="41" customFormat="1" x14ac:dyDescent="0.8">
      <c r="D64" s="41" t="str">
        <f>DataSet!B14</f>
        <v>พนักงานมหาวิทยาลัย - รอบที่ 1</v>
      </c>
      <c r="F64" s="45" t="s">
        <v>224</v>
      </c>
      <c r="G64" s="42">
        <f>G62</f>
        <v>2568</v>
      </c>
      <c r="H64" s="41" t="s">
        <v>123</v>
      </c>
      <c r="J64" s="42">
        <f>G62</f>
        <v>2568</v>
      </c>
      <c r="K64" s="43" t="str">
        <f>IF(D64=DataSet!B14,"พนักงานมหาวิทยาลัย","ข้าราชการ")</f>
        <v>พนักงานมหาวิทยาลัย</v>
      </c>
      <c r="L64" s="43" t="str">
        <f>IF(D64=DataSet!B14,"รอบที่ 1","รอบที่ 2")</f>
        <v>รอบที่ 1</v>
      </c>
    </row>
    <row r="65" spans="4:12" s="41" customFormat="1" x14ac:dyDescent="0.8">
      <c r="D65" s="41" t="str">
        <f>DataSet!B15</f>
        <v>พนักงานมหาวิทยาลัย - รอบที่ 2</v>
      </c>
      <c r="F65" s="45" t="s">
        <v>226</v>
      </c>
      <c r="G65" s="42">
        <f>G62+1</f>
        <v>2569</v>
      </c>
      <c r="H65" s="41" t="s">
        <v>124</v>
      </c>
      <c r="J65" s="42">
        <f>G62+1</f>
        <v>2569</v>
      </c>
      <c r="K65" s="43" t="str">
        <f>IF(D65=DataSet!B15,"พนักงานมหาวิทยาลัย","ข้าราชการ")</f>
        <v>พนักงานมหาวิทยาลัย</v>
      </c>
      <c r="L65" s="43" t="str">
        <f>IF(D65=DataSet!B15,"รอบที่ 2","รอบที่ 1")</f>
        <v>รอบที่ 2</v>
      </c>
    </row>
    <row r="66" spans="4:12" s="47" customFormat="1" x14ac:dyDescent="0.8"/>
    <row r="67" spans="4:12" s="47" customFormat="1" x14ac:dyDescent="0.8"/>
    <row r="68" spans="4:12" s="47" customFormat="1" x14ac:dyDescent="0.8"/>
    <row r="69" spans="4:12" s="47" customFormat="1" x14ac:dyDescent="0.8"/>
    <row r="70" spans="4:12" s="47" customFormat="1" x14ac:dyDescent="0.8"/>
    <row r="71" spans="4:12" s="47" customFormat="1" x14ac:dyDescent="0.8"/>
    <row r="72" spans="4:12" s="47" customFormat="1" x14ac:dyDescent="0.8"/>
    <row r="73" spans="4:12" s="47" customFormat="1" x14ac:dyDescent="0.8"/>
    <row r="74" spans="4:12" s="47" customFormat="1" x14ac:dyDescent="0.8"/>
    <row r="75" spans="4:12" s="47" customFormat="1" x14ac:dyDescent="0.8"/>
    <row r="76" spans="4:12" s="47" customFormat="1" x14ac:dyDescent="0.8"/>
    <row r="77" spans="4:12" s="47" customFormat="1" x14ac:dyDescent="0.8"/>
    <row r="78" spans="4:12" s="47" customFormat="1" x14ac:dyDescent="0.8"/>
    <row r="79" spans="4:12" s="47" customFormat="1" x14ac:dyDescent="0.8"/>
    <row r="80" spans="4:12" s="47" customFormat="1" x14ac:dyDescent="0.8"/>
    <row r="81" spans="2:13" s="47" customFormat="1" x14ac:dyDescent="0.8"/>
    <row r="82" spans="2:13" s="47" customFormat="1" x14ac:dyDescent="0.8"/>
    <row r="83" spans="2:13" s="47" customFormat="1" x14ac:dyDescent="0.8"/>
    <row r="84" spans="2:13" s="47" customFormat="1" x14ac:dyDescent="0.8"/>
    <row r="85" spans="2:13" s="47" customFormat="1" x14ac:dyDescent="0.8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</row>
    <row r="86" spans="2:13" s="47" customFormat="1" x14ac:dyDescent="0.8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</row>
    <row r="87" spans="2:13" s="47" customFormat="1" x14ac:dyDescent="0.8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</row>
    <row r="88" spans="2:13" s="47" customFormat="1" x14ac:dyDescent="0.8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</row>
    <row r="89" spans="2:13" s="47" customFormat="1" x14ac:dyDescent="0.8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</row>
    <row r="90" spans="2:13" s="47" customFormat="1" x14ac:dyDescent="0.8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</row>
    <row r="91" spans="2:13" s="47" customFormat="1" x14ac:dyDescent="0.8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</row>
    <row r="92" spans="2:13" s="47" customFormat="1" x14ac:dyDescent="0.8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</row>
    <row r="93" spans="2:13" s="47" customFormat="1" x14ac:dyDescent="0.8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</row>
    <row r="94" spans="2:13" s="47" customFormat="1" x14ac:dyDescent="0.8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</row>
    <row r="95" spans="2:13" s="47" customFormat="1" x14ac:dyDescent="0.8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</row>
    <row r="96" spans="2:13" s="47" customFormat="1" x14ac:dyDescent="0.8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</row>
    <row r="97" spans="2:13" s="47" customFormat="1" x14ac:dyDescent="0.8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</row>
    <row r="98" spans="2:13" s="47" customFormat="1" x14ac:dyDescent="0.8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</row>
    <row r="99" spans="2:13" s="47" customFormat="1" x14ac:dyDescent="0.8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</row>
    <row r="100" spans="2:13" s="47" customFormat="1" x14ac:dyDescent="0.8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</row>
    <row r="101" spans="2:13" s="47" customFormat="1" x14ac:dyDescent="0.8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</row>
    <row r="102" spans="2:13" s="47" customFormat="1" x14ac:dyDescent="0.8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</row>
    <row r="103" spans="2:13" s="41" customFormat="1" x14ac:dyDescent="0.8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</row>
    <row r="104" spans="2:13" s="41" customFormat="1" x14ac:dyDescent="0.8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</row>
    <row r="105" spans="2:13" s="41" customFormat="1" x14ac:dyDescent="0.8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</row>
    <row r="106" spans="2:13" s="41" customFormat="1" x14ac:dyDescent="0.8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</row>
    <row r="107" spans="2:13" s="41" customFormat="1" x14ac:dyDescent="0.8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</row>
    <row r="108" spans="2:13" s="41" customFormat="1" x14ac:dyDescent="0.8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</row>
    <row r="109" spans="2:13" s="41" customFormat="1" x14ac:dyDescent="0.8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</row>
    <row r="110" spans="2:13" s="41" customFormat="1" x14ac:dyDescent="0.8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</row>
    <row r="111" spans="2:13" s="41" customFormat="1" x14ac:dyDescent="0.8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</row>
    <row r="112" spans="2:13" s="41" customFormat="1" x14ac:dyDescent="0.8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</row>
    <row r="113" spans="2:13" s="41" customFormat="1" x14ac:dyDescent="0.8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</row>
    <row r="114" spans="2:13" s="41" customFormat="1" x14ac:dyDescent="0.8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</row>
    <row r="115" spans="2:13" s="41" customFormat="1" x14ac:dyDescent="0.8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</row>
    <row r="116" spans="2:13" s="41" customFormat="1" x14ac:dyDescent="0.8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</row>
    <row r="117" spans="2:13" s="41" customFormat="1" x14ac:dyDescent="0.8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</row>
    <row r="118" spans="2:13" s="41" customFormat="1" x14ac:dyDescent="0.8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</row>
    <row r="119" spans="2:13" s="41" customFormat="1" x14ac:dyDescent="0.8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</row>
    <row r="120" spans="2:13" s="41" customFormat="1" x14ac:dyDescent="0.8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</row>
    <row r="121" spans="2:13" s="41" customFormat="1" x14ac:dyDescent="0.8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</row>
    <row r="122" spans="2:13" s="41" customFormat="1" x14ac:dyDescent="0.8"/>
    <row r="123" spans="2:13" s="41" customFormat="1" x14ac:dyDescent="0.8"/>
    <row r="124" spans="2:13" s="41" customFormat="1" x14ac:dyDescent="0.8"/>
    <row r="125" spans="2:13" s="41" customFormat="1" x14ac:dyDescent="0.8"/>
    <row r="126" spans="2:13" s="41" customFormat="1" x14ac:dyDescent="0.8"/>
    <row r="127" spans="2:13" s="41" customFormat="1" x14ac:dyDescent="0.8"/>
    <row r="128" spans="2:13" s="41" customFormat="1" x14ac:dyDescent="0.8"/>
    <row r="129" s="41" customFormat="1" x14ac:dyDescent="0.8"/>
    <row r="130" s="41" customFormat="1" x14ac:dyDescent="0.8"/>
    <row r="131" s="41" customFormat="1" x14ac:dyDescent="0.8"/>
    <row r="132" s="41" customFormat="1" x14ac:dyDescent="0.8"/>
    <row r="133" s="41" customFormat="1" x14ac:dyDescent="0.8"/>
    <row r="134" s="41" customFormat="1" x14ac:dyDescent="0.8"/>
    <row r="135" s="41" customFormat="1" x14ac:dyDescent="0.8"/>
    <row r="136" s="41" customFormat="1" x14ac:dyDescent="0.8"/>
    <row r="137" s="41" customFormat="1" x14ac:dyDescent="0.8"/>
    <row r="138" s="41" customFormat="1" x14ac:dyDescent="0.8"/>
    <row r="139" s="41" customFormat="1" x14ac:dyDescent="0.8"/>
    <row r="140" s="41" customFormat="1" x14ac:dyDescent="0.8"/>
    <row r="141" s="41" customFormat="1" x14ac:dyDescent="0.8"/>
    <row r="142" s="41" customFormat="1" x14ac:dyDescent="0.8"/>
    <row r="143" s="41" customFormat="1" x14ac:dyDescent="0.8"/>
    <row r="144" s="41" customFormat="1" x14ac:dyDescent="0.8"/>
    <row r="145" s="41" customFormat="1" x14ac:dyDescent="0.8"/>
    <row r="146" s="41" customFormat="1" x14ac:dyDescent="0.8"/>
    <row r="147" s="41" customFormat="1" x14ac:dyDescent="0.8"/>
    <row r="148" s="41" customFormat="1" x14ac:dyDescent="0.8"/>
    <row r="149" s="41" customFormat="1" x14ac:dyDescent="0.8"/>
    <row r="150" s="41" customFormat="1" x14ac:dyDescent="0.8"/>
    <row r="151" s="41" customFormat="1" x14ac:dyDescent="0.8"/>
    <row r="152" s="41" customFormat="1" x14ac:dyDescent="0.8"/>
    <row r="153" s="41" customFormat="1" x14ac:dyDescent="0.8"/>
    <row r="154" s="41" customFormat="1" x14ac:dyDescent="0.8"/>
    <row r="155" s="41" customFormat="1" x14ac:dyDescent="0.8"/>
    <row r="156" s="41" customFormat="1" x14ac:dyDescent="0.8"/>
    <row r="157" s="41" customFormat="1" x14ac:dyDescent="0.8"/>
    <row r="158" s="41" customFormat="1" x14ac:dyDescent="0.8"/>
    <row r="159" s="41" customFormat="1" x14ac:dyDescent="0.8"/>
    <row r="160" s="41" customFormat="1" x14ac:dyDescent="0.8"/>
    <row r="161" s="41" customFormat="1" x14ac:dyDescent="0.8"/>
    <row r="162" s="41" customFormat="1" x14ac:dyDescent="0.8"/>
    <row r="163" s="41" customFormat="1" x14ac:dyDescent="0.8"/>
    <row r="164" s="41" customFormat="1" x14ac:dyDescent="0.8"/>
    <row r="165" s="41" customFormat="1" x14ac:dyDescent="0.8"/>
    <row r="166" s="41" customFormat="1" x14ac:dyDescent="0.8"/>
    <row r="167" s="41" customFormat="1" x14ac:dyDescent="0.8"/>
    <row r="168" s="41" customFormat="1" x14ac:dyDescent="0.8"/>
    <row r="169" s="41" customFormat="1" x14ac:dyDescent="0.8"/>
    <row r="170" s="41" customFormat="1" x14ac:dyDescent="0.8"/>
    <row r="171" s="41" customFormat="1" x14ac:dyDescent="0.8"/>
    <row r="172" s="41" customFormat="1" x14ac:dyDescent="0.8"/>
    <row r="173" s="41" customFormat="1" x14ac:dyDescent="0.8"/>
    <row r="174" s="41" customFormat="1" x14ac:dyDescent="0.8"/>
  </sheetData>
  <sheetProtection selectLockedCells="1" sort="0" autoFilter="0" pivotTables="0" selectUnlockedCells="1"/>
  <mergeCells count="57">
    <mergeCell ref="B11:G11"/>
    <mergeCell ref="B12:G12"/>
    <mergeCell ref="B13:G13"/>
    <mergeCell ref="B22:K22"/>
    <mergeCell ref="B23:K23"/>
    <mergeCell ref="B20:M20"/>
    <mergeCell ref="H18:I18"/>
    <mergeCell ref="L10:L17"/>
    <mergeCell ref="M10:M17"/>
    <mergeCell ref="H14:I14"/>
    <mergeCell ref="H15:I15"/>
    <mergeCell ref="H16:I16"/>
    <mergeCell ref="J32:M32"/>
    <mergeCell ref="B1:J1"/>
    <mergeCell ref="B9:G9"/>
    <mergeCell ref="B17:G17"/>
    <mergeCell ref="B2:M2"/>
    <mergeCell ref="B7:M7"/>
    <mergeCell ref="B8:G8"/>
    <mergeCell ref="K4:M4"/>
    <mergeCell ref="D4:F4"/>
    <mergeCell ref="H4:I4"/>
    <mergeCell ref="D5:F5"/>
    <mergeCell ref="H5:K5"/>
    <mergeCell ref="H8:K8"/>
    <mergeCell ref="G3:H3"/>
    <mergeCell ref="H17:I17"/>
    <mergeCell ref="J10:J17"/>
    <mergeCell ref="B33:E33"/>
    <mergeCell ref="B34:E34"/>
    <mergeCell ref="H33:I34"/>
    <mergeCell ref="J33:M34"/>
    <mergeCell ref="D46:F46"/>
    <mergeCell ref="E36:M36"/>
    <mergeCell ref="D47:F47"/>
    <mergeCell ref="E38:M38"/>
    <mergeCell ref="D42:F42"/>
    <mergeCell ref="J46:M46"/>
    <mergeCell ref="D43:F43"/>
    <mergeCell ref="J47:M47"/>
    <mergeCell ref="B40:M40"/>
    <mergeCell ref="H32:I32"/>
    <mergeCell ref="B32:E32"/>
    <mergeCell ref="H9:I9"/>
    <mergeCell ref="H10:I10"/>
    <mergeCell ref="H11:I11"/>
    <mergeCell ref="H12:I12"/>
    <mergeCell ref="H13:I13"/>
    <mergeCell ref="B28:K28"/>
    <mergeCell ref="B27:K27"/>
    <mergeCell ref="B29:K29"/>
    <mergeCell ref="B26:K26"/>
    <mergeCell ref="B18:G18"/>
    <mergeCell ref="B21:K21"/>
    <mergeCell ref="B24:K24"/>
    <mergeCell ref="B25:K25"/>
    <mergeCell ref="B31:M31"/>
  </mergeCells>
  <pageMargins left="0.51" right="0.33" top="0.64" bottom="0.34" header="0.3" footer="0.3"/>
  <pageSetup scale="65" orientation="portrait" r:id="rId2"/>
  <drawing r:id="rId3"/>
  <legacy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B3109"/>
    <pageSetUpPr fitToPage="1"/>
  </sheetPr>
  <dimension ref="A1:T334"/>
  <sheetViews>
    <sheetView tabSelected="1" zoomScaleNormal="100" workbookViewId="0">
      <selection activeCell="D5" sqref="D5"/>
    </sheetView>
  </sheetViews>
  <sheetFormatPr defaultColWidth="9" defaultRowHeight="24" x14ac:dyDescent="0.8"/>
  <cols>
    <col min="1" max="1" width="4.1640625" style="48" customWidth="1"/>
    <col min="2" max="2" width="7.83203125" style="48" customWidth="1"/>
    <col min="3" max="3" width="15.6640625" style="48" bestFit="1" customWidth="1"/>
    <col min="4" max="4" width="35.1640625" style="48" customWidth="1"/>
    <col min="5" max="5" width="4" style="48" bestFit="1" customWidth="1"/>
    <col min="6" max="6" width="2.4140625" style="48" customWidth="1"/>
    <col min="7" max="7" width="19.33203125" style="48" customWidth="1"/>
    <col min="8" max="8" width="20.6640625" style="48" customWidth="1"/>
    <col min="9" max="9" width="2" style="48" bestFit="1" customWidth="1"/>
    <col min="10" max="10" width="10.5" style="48" customWidth="1"/>
    <col min="11" max="11" width="14.5" style="48" customWidth="1"/>
    <col min="12" max="12" width="3.83203125" style="48" customWidth="1"/>
    <col min="13" max="13" width="21.25" style="48" customWidth="1"/>
    <col min="14" max="14" width="9" style="48" customWidth="1"/>
    <col min="15" max="18" width="9" style="49" customWidth="1"/>
    <col min="19" max="20" width="9" style="50" customWidth="1"/>
    <col min="21" max="30" width="9" style="48" customWidth="1"/>
    <col min="31" max="16384" width="9" style="48"/>
  </cols>
  <sheetData>
    <row r="1" spans="2:20" ht="24.5" thickBot="1" x14ac:dyDescent="0.85"/>
    <row r="2" spans="2:20" s="51" customFormat="1" ht="53.5" thickBot="1" x14ac:dyDescent="1.75">
      <c r="B2" s="297" t="s">
        <v>2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9"/>
      <c r="O2" s="52"/>
      <c r="P2" s="52"/>
      <c r="Q2" s="52"/>
      <c r="R2" s="52"/>
      <c r="S2" s="53"/>
      <c r="T2" s="53"/>
    </row>
    <row r="3" spans="2:20" s="51" customFormat="1" ht="13.5" customHeight="1" thickBot="1" x14ac:dyDescent="1.2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O3" s="52"/>
      <c r="P3" s="52"/>
      <c r="Q3" s="52"/>
      <c r="R3" s="52"/>
      <c r="S3" s="53"/>
      <c r="T3" s="53"/>
    </row>
    <row r="4" spans="2:20" s="51" customFormat="1" ht="13.5" customHeight="1" x14ac:dyDescent="1.1499999999999999">
      <c r="B4" s="55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  <c r="O4" s="52"/>
      <c r="P4" s="52"/>
      <c r="Q4" s="52"/>
      <c r="R4" s="52"/>
      <c r="S4" s="53"/>
      <c r="T4" s="53"/>
    </row>
    <row r="5" spans="2:20" s="62" customFormat="1" ht="33" x14ac:dyDescent="1.1000000000000001">
      <c r="B5" s="302" t="s">
        <v>236</v>
      </c>
      <c r="C5" s="303"/>
      <c r="D5" s="59" t="s">
        <v>240</v>
      </c>
      <c r="E5" s="60"/>
      <c r="F5" s="60"/>
      <c r="G5" s="58" t="s">
        <v>257</v>
      </c>
      <c r="H5" s="59">
        <v>2569</v>
      </c>
      <c r="I5" s="60"/>
      <c r="J5" s="301" t="s">
        <v>114</v>
      </c>
      <c r="K5" s="301"/>
      <c r="L5" s="301"/>
      <c r="M5" s="61">
        <v>100</v>
      </c>
      <c r="T5" s="63"/>
    </row>
    <row r="6" spans="2:20" s="62" customFormat="1" ht="33" x14ac:dyDescent="1.1000000000000001">
      <c r="B6" s="302" t="s">
        <v>1</v>
      </c>
      <c r="C6" s="303"/>
      <c r="D6" s="296"/>
      <c r="E6" s="296"/>
      <c r="F6" s="296"/>
      <c r="G6" s="58" t="s">
        <v>6</v>
      </c>
      <c r="H6" s="59"/>
      <c r="I6" s="60"/>
      <c r="J6" s="301" t="s">
        <v>7</v>
      </c>
      <c r="K6" s="301"/>
      <c r="L6" s="296"/>
      <c r="M6" s="300"/>
      <c r="T6" s="63"/>
    </row>
    <row r="7" spans="2:20" s="62" customFormat="1" ht="33" x14ac:dyDescent="1.1000000000000001">
      <c r="B7" s="302" t="s">
        <v>128</v>
      </c>
      <c r="C7" s="303"/>
      <c r="D7" s="304" t="s">
        <v>127</v>
      </c>
      <c r="E7" s="304"/>
      <c r="F7" s="304"/>
      <c r="G7" s="58" t="s">
        <v>11</v>
      </c>
      <c r="H7" s="64" t="s">
        <v>355</v>
      </c>
      <c r="I7" s="64"/>
      <c r="J7" s="64"/>
      <c r="K7" s="60"/>
      <c r="L7" s="60"/>
      <c r="M7" s="65"/>
      <c r="T7" s="63"/>
    </row>
    <row r="8" spans="2:20" s="62" customFormat="1" ht="33" x14ac:dyDescent="1.1000000000000001">
      <c r="B8" s="302" t="s">
        <v>10</v>
      </c>
      <c r="C8" s="303"/>
      <c r="D8" s="296" t="s">
        <v>363</v>
      </c>
      <c r="E8" s="296"/>
      <c r="F8" s="296"/>
      <c r="G8" s="58" t="s">
        <v>36</v>
      </c>
      <c r="H8" s="296" t="s">
        <v>387</v>
      </c>
      <c r="I8" s="296"/>
      <c r="J8" s="296"/>
      <c r="K8" s="66" t="s">
        <v>201</v>
      </c>
      <c r="L8" s="60"/>
      <c r="M8" s="65"/>
      <c r="T8" s="63"/>
    </row>
    <row r="9" spans="2:20" s="62" customFormat="1" ht="33.5" thickBot="1" x14ac:dyDescent="1.1499999999999999">
      <c r="B9" s="67"/>
      <c r="C9" s="68"/>
      <c r="D9" s="69"/>
      <c r="E9" s="69"/>
      <c r="F9" s="69"/>
      <c r="G9" s="70"/>
      <c r="H9" s="71"/>
      <c r="I9" s="71"/>
      <c r="J9" s="71"/>
      <c r="K9" s="72"/>
      <c r="L9" s="72"/>
      <c r="M9" s="73"/>
      <c r="T9" s="63"/>
    </row>
    <row r="10" spans="2:20" s="74" customFormat="1" x14ac:dyDescent="0.8">
      <c r="O10" s="75"/>
      <c r="P10" s="75"/>
      <c r="Q10" s="75"/>
      <c r="R10" s="75"/>
    </row>
    <row r="11" spans="2:20" s="76" customFormat="1" x14ac:dyDescent="0.8">
      <c r="B11" s="76" t="s">
        <v>0</v>
      </c>
      <c r="D11" s="76" t="s">
        <v>119</v>
      </c>
      <c r="F11" s="76" t="s">
        <v>7</v>
      </c>
      <c r="H11" s="76" t="s">
        <v>128</v>
      </c>
      <c r="O11" s="77"/>
      <c r="P11" s="77"/>
      <c r="Q11" s="77"/>
      <c r="R11" s="77"/>
    </row>
    <row r="12" spans="2:20" s="79" customFormat="1" x14ac:dyDescent="0.8">
      <c r="B12" s="78" t="s">
        <v>237</v>
      </c>
      <c r="D12" s="80" t="s">
        <v>4</v>
      </c>
      <c r="F12" s="78" t="s">
        <v>5</v>
      </c>
      <c r="H12" s="79" t="s">
        <v>127</v>
      </c>
      <c r="O12" s="78"/>
      <c r="P12" s="78"/>
      <c r="Q12" s="78"/>
      <c r="R12" s="78"/>
    </row>
    <row r="13" spans="2:20" s="79" customFormat="1" x14ac:dyDescent="0.8">
      <c r="B13" s="78" t="s">
        <v>238</v>
      </c>
      <c r="D13" s="80" t="s">
        <v>120</v>
      </c>
      <c r="F13" s="78" t="s">
        <v>8</v>
      </c>
      <c r="H13" s="79" t="s">
        <v>297</v>
      </c>
      <c r="O13" s="78"/>
      <c r="P13" s="78"/>
      <c r="Q13" s="78"/>
      <c r="R13" s="78"/>
    </row>
    <row r="14" spans="2:20" s="79" customFormat="1" x14ac:dyDescent="0.8">
      <c r="B14" s="78" t="s">
        <v>239</v>
      </c>
      <c r="D14" s="80" t="s">
        <v>121</v>
      </c>
      <c r="F14" s="78" t="s">
        <v>9</v>
      </c>
      <c r="H14" s="79" t="s">
        <v>125</v>
      </c>
      <c r="O14" s="78"/>
      <c r="P14" s="78"/>
      <c r="Q14" s="78"/>
      <c r="R14" s="78"/>
    </row>
    <row r="15" spans="2:20" s="79" customFormat="1" x14ac:dyDescent="0.8">
      <c r="B15" s="78" t="s">
        <v>240</v>
      </c>
      <c r="D15" s="80" t="s">
        <v>122</v>
      </c>
      <c r="F15" s="78" t="s">
        <v>287</v>
      </c>
      <c r="H15" s="79" t="s">
        <v>319</v>
      </c>
      <c r="O15" s="78"/>
      <c r="P15" s="78"/>
      <c r="Q15" s="78"/>
      <c r="R15" s="78"/>
    </row>
    <row r="16" spans="2:20" s="79" customFormat="1" x14ac:dyDescent="0.8">
      <c r="H16" s="79" t="s">
        <v>126</v>
      </c>
      <c r="O16" s="78"/>
      <c r="P16" s="78"/>
      <c r="Q16" s="78"/>
      <c r="R16" s="78"/>
    </row>
    <row r="17" spans="2:18" s="79" customFormat="1" x14ac:dyDescent="0.8">
      <c r="O17" s="78"/>
      <c r="P17" s="78"/>
      <c r="Q17" s="78"/>
      <c r="R17" s="78"/>
    </row>
    <row r="18" spans="2:18" s="79" customFormat="1" x14ac:dyDescent="0.8">
      <c r="O18" s="78"/>
      <c r="P18" s="78"/>
      <c r="Q18" s="78"/>
      <c r="R18" s="78"/>
    </row>
    <row r="19" spans="2:18" s="79" customFormat="1" x14ac:dyDescent="0.8">
      <c r="O19" s="78"/>
      <c r="P19" s="78"/>
      <c r="Q19" s="78"/>
      <c r="R19" s="78"/>
    </row>
    <row r="20" spans="2:18" s="79" customFormat="1" x14ac:dyDescent="0.8">
      <c r="O20" s="78"/>
      <c r="P20" s="78"/>
      <c r="Q20" s="78"/>
      <c r="R20" s="78"/>
    </row>
    <row r="21" spans="2:18" s="79" customFormat="1" x14ac:dyDescent="0.8">
      <c r="O21" s="78"/>
      <c r="P21" s="78"/>
      <c r="Q21" s="78"/>
      <c r="R21" s="78"/>
    </row>
    <row r="22" spans="2:18" s="79" customFormat="1" x14ac:dyDescent="0.8">
      <c r="E22" s="81" t="s">
        <v>389</v>
      </c>
      <c r="F22" s="79" t="s">
        <v>391</v>
      </c>
      <c r="O22" s="78"/>
      <c r="P22" s="78"/>
      <c r="Q22" s="78"/>
      <c r="R22" s="78"/>
    </row>
    <row r="23" spans="2:18" s="79" customFormat="1" x14ac:dyDescent="0.8">
      <c r="E23" s="81" t="s">
        <v>390</v>
      </c>
      <c r="F23" s="79" t="s">
        <v>392</v>
      </c>
      <c r="O23" s="78"/>
      <c r="P23" s="78"/>
      <c r="Q23" s="78"/>
      <c r="R23" s="78"/>
    </row>
    <row r="24" spans="2:18" s="79" customFormat="1" x14ac:dyDescent="0.8">
      <c r="B24" s="79" t="s">
        <v>143</v>
      </c>
      <c r="C24" s="79" t="s">
        <v>144</v>
      </c>
      <c r="D24" s="79" t="s">
        <v>45</v>
      </c>
      <c r="E24" s="81" t="s">
        <v>194</v>
      </c>
      <c r="F24" s="79" t="s">
        <v>129</v>
      </c>
      <c r="O24" s="78"/>
      <c r="P24" s="78"/>
      <c r="Q24" s="78"/>
      <c r="R24" s="78"/>
    </row>
    <row r="25" spans="2:18" s="79" customFormat="1" ht="27" x14ac:dyDescent="0.9">
      <c r="D25" s="82"/>
      <c r="E25" s="81" t="s">
        <v>195</v>
      </c>
      <c r="F25" s="79" t="s">
        <v>130</v>
      </c>
      <c r="O25" s="78"/>
      <c r="P25" s="78"/>
      <c r="Q25" s="78"/>
      <c r="R25" s="78"/>
    </row>
    <row r="26" spans="2:18" s="79" customFormat="1" x14ac:dyDescent="0.8">
      <c r="D26" s="83" t="s">
        <v>42</v>
      </c>
      <c r="E26" s="81" t="s">
        <v>196</v>
      </c>
      <c r="F26" s="295" t="s">
        <v>46</v>
      </c>
      <c r="O26" s="78"/>
      <c r="P26" s="78"/>
      <c r="Q26" s="78"/>
      <c r="R26" s="78"/>
    </row>
    <row r="27" spans="2:18" s="79" customFormat="1" x14ac:dyDescent="0.8">
      <c r="E27" s="81" t="s">
        <v>197</v>
      </c>
      <c r="F27" s="79" t="s">
        <v>47</v>
      </c>
      <c r="O27" s="78"/>
      <c r="P27" s="78"/>
      <c r="Q27" s="78"/>
      <c r="R27" s="78"/>
    </row>
    <row r="28" spans="2:18" s="79" customFormat="1" x14ac:dyDescent="0.8">
      <c r="E28" s="81" t="s">
        <v>198</v>
      </c>
      <c r="F28" s="79" t="s">
        <v>48</v>
      </c>
      <c r="O28" s="78"/>
      <c r="P28" s="78"/>
      <c r="Q28" s="78"/>
      <c r="R28" s="78"/>
    </row>
    <row r="29" spans="2:18" s="79" customFormat="1" x14ac:dyDescent="0.8">
      <c r="B29" s="79" t="s">
        <v>143</v>
      </c>
      <c r="C29" s="79" t="s">
        <v>145</v>
      </c>
      <c r="D29" s="79" t="s">
        <v>65</v>
      </c>
      <c r="E29" s="81" t="s">
        <v>192</v>
      </c>
      <c r="F29" s="79" t="s">
        <v>67</v>
      </c>
      <c r="G29" s="79">
        <v>5</v>
      </c>
      <c r="O29" s="78"/>
      <c r="P29" s="78"/>
      <c r="Q29" s="78"/>
      <c r="R29" s="78"/>
    </row>
    <row r="30" spans="2:18" s="79" customFormat="1" x14ac:dyDescent="0.8">
      <c r="E30" s="81" t="s">
        <v>193</v>
      </c>
      <c r="F30" s="79" t="s">
        <v>66</v>
      </c>
      <c r="G30" s="79">
        <v>7</v>
      </c>
      <c r="O30" s="78"/>
      <c r="P30" s="78"/>
      <c r="Q30" s="78"/>
      <c r="R30" s="78"/>
    </row>
    <row r="31" spans="2:18" s="79" customFormat="1" x14ac:dyDescent="0.8">
      <c r="E31" s="81"/>
      <c r="H31" s="79" t="s">
        <v>74</v>
      </c>
      <c r="O31" s="78"/>
      <c r="P31" s="78"/>
      <c r="Q31" s="78"/>
      <c r="R31" s="78"/>
    </row>
    <row r="32" spans="2:18" s="79" customFormat="1" x14ac:dyDescent="0.8">
      <c r="D32" s="79" t="s">
        <v>71</v>
      </c>
      <c r="E32" s="81" t="s">
        <v>186</v>
      </c>
      <c r="F32" s="79" t="s">
        <v>309</v>
      </c>
      <c r="H32" s="83">
        <v>0.05</v>
      </c>
      <c r="O32" s="78"/>
      <c r="P32" s="78"/>
      <c r="Q32" s="78"/>
      <c r="R32" s="78"/>
    </row>
    <row r="33" spans="4:18" s="79" customFormat="1" x14ac:dyDescent="0.8">
      <c r="E33" s="81" t="s">
        <v>187</v>
      </c>
      <c r="F33" s="79" t="s">
        <v>310</v>
      </c>
      <c r="H33" s="83">
        <v>7.0000000000000007E-2</v>
      </c>
      <c r="O33" s="78"/>
      <c r="P33" s="78"/>
      <c r="Q33" s="78"/>
      <c r="R33" s="78"/>
    </row>
    <row r="34" spans="4:18" s="79" customFormat="1" x14ac:dyDescent="0.8">
      <c r="E34" s="81" t="s">
        <v>188</v>
      </c>
      <c r="F34" s="79" t="s">
        <v>332</v>
      </c>
      <c r="H34" s="83">
        <v>0.08</v>
      </c>
      <c r="O34" s="78"/>
      <c r="P34" s="78"/>
      <c r="Q34" s="78"/>
      <c r="R34" s="78"/>
    </row>
    <row r="35" spans="4:18" s="79" customFormat="1" x14ac:dyDescent="0.8">
      <c r="E35" s="81" t="s">
        <v>189</v>
      </c>
      <c r="F35" s="79" t="s">
        <v>333</v>
      </c>
      <c r="H35" s="83">
        <v>0.1</v>
      </c>
      <c r="O35" s="78"/>
      <c r="P35" s="78"/>
      <c r="Q35" s="78"/>
      <c r="R35" s="78"/>
    </row>
    <row r="36" spans="4:18" s="79" customFormat="1" x14ac:dyDescent="0.8">
      <c r="E36" s="81" t="s">
        <v>190</v>
      </c>
      <c r="F36" s="79" t="s">
        <v>334</v>
      </c>
      <c r="H36" s="83">
        <f>9/100</f>
        <v>0.09</v>
      </c>
      <c r="O36" s="78"/>
      <c r="P36" s="78"/>
      <c r="Q36" s="78"/>
      <c r="R36" s="78"/>
    </row>
    <row r="37" spans="4:18" s="79" customFormat="1" x14ac:dyDescent="0.8">
      <c r="E37" s="81" t="s">
        <v>191</v>
      </c>
      <c r="F37" s="79" t="s">
        <v>336</v>
      </c>
      <c r="H37" s="83">
        <f>12/100</f>
        <v>0.12</v>
      </c>
      <c r="O37" s="78"/>
      <c r="P37" s="78"/>
      <c r="Q37" s="78"/>
      <c r="R37" s="78"/>
    </row>
    <row r="38" spans="4:18" s="79" customFormat="1" x14ac:dyDescent="0.8">
      <c r="E38" s="81" t="s">
        <v>330</v>
      </c>
      <c r="F38" s="79" t="s">
        <v>335</v>
      </c>
      <c r="H38" s="83">
        <f>10/100</f>
        <v>0.1</v>
      </c>
      <c r="O38" s="78"/>
      <c r="P38" s="78"/>
      <c r="Q38" s="78"/>
      <c r="R38" s="78"/>
    </row>
    <row r="39" spans="4:18" s="79" customFormat="1" x14ac:dyDescent="0.8">
      <c r="E39" s="81" t="s">
        <v>175</v>
      </c>
      <c r="F39" s="79" t="s">
        <v>337</v>
      </c>
      <c r="H39" s="83">
        <f>14/100</f>
        <v>0.14000000000000001</v>
      </c>
      <c r="O39" s="78"/>
      <c r="P39" s="78"/>
      <c r="Q39" s="78"/>
      <c r="R39" s="78"/>
    </row>
    <row r="40" spans="4:18" s="79" customFormat="1" x14ac:dyDescent="0.8">
      <c r="E40" s="81"/>
      <c r="H40" s="79" t="s">
        <v>43</v>
      </c>
      <c r="O40" s="78"/>
      <c r="P40" s="78"/>
      <c r="Q40" s="78"/>
      <c r="R40" s="78"/>
    </row>
    <row r="41" spans="4:18" s="79" customFormat="1" x14ac:dyDescent="0.8">
      <c r="D41" s="79" t="s">
        <v>76</v>
      </c>
      <c r="E41" s="81" t="s">
        <v>176</v>
      </c>
      <c r="F41" s="79" t="s">
        <v>311</v>
      </c>
      <c r="H41" s="83">
        <v>24</v>
      </c>
      <c r="O41" s="78"/>
      <c r="P41" s="78"/>
      <c r="Q41" s="78"/>
      <c r="R41" s="78"/>
    </row>
    <row r="42" spans="4:18" s="79" customFormat="1" x14ac:dyDescent="0.8">
      <c r="E42" s="81" t="s">
        <v>177</v>
      </c>
      <c r="F42" s="79" t="s">
        <v>312</v>
      </c>
      <c r="H42" s="83">
        <v>20</v>
      </c>
      <c r="O42" s="78"/>
      <c r="P42" s="78"/>
      <c r="Q42" s="78"/>
      <c r="R42" s="78"/>
    </row>
    <row r="43" spans="4:18" s="79" customFormat="1" x14ac:dyDescent="0.8">
      <c r="E43" s="81" t="s">
        <v>178</v>
      </c>
      <c r="F43" s="79" t="s">
        <v>313</v>
      </c>
      <c r="H43" s="83">
        <v>16</v>
      </c>
      <c r="O43" s="78"/>
      <c r="P43" s="78"/>
      <c r="Q43" s="78"/>
      <c r="R43" s="78"/>
    </row>
    <row r="44" spans="4:18" s="79" customFormat="1" x14ac:dyDescent="0.8">
      <c r="E44" s="81" t="s">
        <v>179</v>
      </c>
      <c r="F44" s="79" t="s">
        <v>79</v>
      </c>
      <c r="H44" s="83">
        <v>12</v>
      </c>
      <c r="O44" s="78"/>
      <c r="P44" s="78"/>
      <c r="Q44" s="78"/>
      <c r="R44" s="78"/>
    </row>
    <row r="45" spans="4:18" s="79" customFormat="1" x14ac:dyDescent="0.8">
      <c r="E45" s="81" t="s">
        <v>180</v>
      </c>
      <c r="F45" s="79" t="s">
        <v>80</v>
      </c>
      <c r="H45" s="83">
        <v>10</v>
      </c>
      <c r="O45" s="78"/>
      <c r="P45" s="78"/>
      <c r="Q45" s="78"/>
      <c r="R45" s="78"/>
    </row>
    <row r="46" spans="4:18" s="79" customFormat="1" x14ac:dyDescent="0.8">
      <c r="E46" s="81" t="s">
        <v>181</v>
      </c>
      <c r="F46" s="79" t="s">
        <v>81</v>
      </c>
      <c r="H46" s="83">
        <v>8</v>
      </c>
      <c r="O46" s="78"/>
      <c r="P46" s="78"/>
      <c r="Q46" s="78"/>
      <c r="R46" s="78"/>
    </row>
    <row r="47" spans="4:18" s="79" customFormat="1" x14ac:dyDescent="0.8">
      <c r="E47" s="81" t="s">
        <v>182</v>
      </c>
      <c r="F47" s="79" t="s">
        <v>133</v>
      </c>
      <c r="H47" s="83">
        <v>14</v>
      </c>
      <c r="O47" s="78"/>
      <c r="P47" s="78"/>
      <c r="Q47" s="78"/>
      <c r="R47" s="78"/>
    </row>
    <row r="48" spans="4:18" s="79" customFormat="1" x14ac:dyDescent="0.8">
      <c r="E48" s="81" t="s">
        <v>183</v>
      </c>
      <c r="F48" s="79" t="s">
        <v>134</v>
      </c>
      <c r="H48" s="83">
        <v>10</v>
      </c>
      <c r="O48" s="78"/>
      <c r="P48" s="78"/>
      <c r="Q48" s="78"/>
      <c r="R48" s="78"/>
    </row>
    <row r="49" spans="2:18" s="79" customFormat="1" x14ac:dyDescent="0.8">
      <c r="E49" s="81" t="s">
        <v>184</v>
      </c>
      <c r="F49" s="79" t="s">
        <v>135</v>
      </c>
      <c r="H49" s="83">
        <v>5</v>
      </c>
      <c r="O49" s="78"/>
      <c r="P49" s="78"/>
      <c r="Q49" s="78"/>
      <c r="R49" s="78"/>
    </row>
    <row r="50" spans="2:18" s="79" customFormat="1" x14ac:dyDescent="0.8">
      <c r="E50" s="81" t="s">
        <v>185</v>
      </c>
      <c r="F50" s="79" t="s">
        <v>136</v>
      </c>
      <c r="H50" s="83">
        <v>8</v>
      </c>
      <c r="O50" s="78"/>
      <c r="P50" s="78"/>
      <c r="Q50" s="78"/>
      <c r="R50" s="78"/>
    </row>
    <row r="51" spans="2:18" s="79" customFormat="1" x14ac:dyDescent="0.8">
      <c r="E51" s="81" t="s">
        <v>323</v>
      </c>
      <c r="F51" s="79" t="s">
        <v>137</v>
      </c>
      <c r="H51" s="83">
        <v>6</v>
      </c>
      <c r="O51" s="78"/>
      <c r="P51" s="78"/>
      <c r="Q51" s="78"/>
      <c r="R51" s="78"/>
    </row>
    <row r="52" spans="2:18" s="79" customFormat="1" x14ac:dyDescent="0.8">
      <c r="E52" s="81" t="s">
        <v>165</v>
      </c>
      <c r="F52" s="79" t="s">
        <v>138</v>
      </c>
      <c r="H52" s="83">
        <v>4</v>
      </c>
      <c r="O52" s="78"/>
      <c r="P52" s="78"/>
      <c r="Q52" s="78"/>
      <c r="R52" s="78"/>
    </row>
    <row r="53" spans="2:18" s="79" customFormat="1" x14ac:dyDescent="0.8">
      <c r="E53" s="81" t="s">
        <v>166</v>
      </c>
      <c r="H53" s="79" t="s">
        <v>43</v>
      </c>
      <c r="O53" s="78"/>
      <c r="P53" s="78"/>
      <c r="Q53" s="78"/>
      <c r="R53" s="78"/>
    </row>
    <row r="54" spans="2:18" s="79" customFormat="1" x14ac:dyDescent="0.8">
      <c r="D54" s="79" t="s">
        <v>87</v>
      </c>
      <c r="E54" s="81" t="s">
        <v>167</v>
      </c>
      <c r="F54" s="79" t="s">
        <v>88</v>
      </c>
      <c r="H54" s="83">
        <v>24</v>
      </c>
      <c r="O54" s="78"/>
      <c r="P54" s="78"/>
      <c r="Q54" s="78"/>
      <c r="R54" s="78"/>
    </row>
    <row r="55" spans="2:18" s="79" customFormat="1" x14ac:dyDescent="0.8">
      <c r="E55" s="81" t="s">
        <v>168</v>
      </c>
      <c r="F55" s="79" t="s">
        <v>89</v>
      </c>
      <c r="H55" s="83">
        <v>20</v>
      </c>
      <c r="O55" s="78"/>
      <c r="P55" s="78"/>
      <c r="Q55" s="78"/>
      <c r="R55" s="78"/>
    </row>
    <row r="56" spans="2:18" s="79" customFormat="1" x14ac:dyDescent="0.8">
      <c r="E56" s="81" t="s">
        <v>169</v>
      </c>
      <c r="F56" s="79" t="s">
        <v>90</v>
      </c>
      <c r="H56" s="83">
        <v>16</v>
      </c>
      <c r="O56" s="78"/>
      <c r="P56" s="78"/>
      <c r="Q56" s="78"/>
      <c r="R56" s="78"/>
    </row>
    <row r="57" spans="2:18" s="79" customFormat="1" x14ac:dyDescent="0.8">
      <c r="E57" s="81" t="s">
        <v>170</v>
      </c>
      <c r="F57" s="79" t="s">
        <v>91</v>
      </c>
      <c r="H57" s="83">
        <v>12</v>
      </c>
      <c r="O57" s="78"/>
      <c r="P57" s="78"/>
      <c r="Q57" s="78"/>
      <c r="R57" s="78"/>
    </row>
    <row r="58" spans="2:18" s="79" customFormat="1" x14ac:dyDescent="0.8">
      <c r="E58" s="81" t="s">
        <v>171</v>
      </c>
      <c r="F58" s="79" t="s">
        <v>92</v>
      </c>
      <c r="H58" s="83">
        <v>8</v>
      </c>
      <c r="O58" s="78"/>
      <c r="P58" s="78"/>
      <c r="Q58" s="78"/>
      <c r="R58" s="78"/>
    </row>
    <row r="59" spans="2:18" s="79" customFormat="1" x14ac:dyDescent="0.8">
      <c r="E59" s="81" t="s">
        <v>172</v>
      </c>
      <c r="F59" s="79" t="s">
        <v>93</v>
      </c>
      <c r="H59" s="83">
        <v>24</v>
      </c>
      <c r="O59" s="78"/>
      <c r="P59" s="78"/>
      <c r="Q59" s="78"/>
      <c r="R59" s="78"/>
    </row>
    <row r="60" spans="2:18" s="79" customFormat="1" x14ac:dyDescent="0.8">
      <c r="E60" s="81" t="s">
        <v>173</v>
      </c>
      <c r="F60" s="79" t="s">
        <v>94</v>
      </c>
      <c r="H60" s="83">
        <v>20</v>
      </c>
      <c r="O60" s="78"/>
      <c r="P60" s="78"/>
      <c r="Q60" s="78"/>
      <c r="R60" s="78"/>
    </row>
    <row r="61" spans="2:18" s="79" customFormat="1" x14ac:dyDescent="0.8">
      <c r="E61" s="81" t="s">
        <v>174</v>
      </c>
      <c r="F61" s="79" t="s">
        <v>318</v>
      </c>
      <c r="H61" s="83">
        <v>16</v>
      </c>
      <c r="O61" s="78"/>
      <c r="P61" s="78"/>
      <c r="Q61" s="78"/>
      <c r="R61" s="78"/>
    </row>
    <row r="62" spans="2:18" s="79" customFormat="1" x14ac:dyDescent="0.8">
      <c r="E62" s="81" t="s">
        <v>324</v>
      </c>
      <c r="F62" s="79" t="s">
        <v>95</v>
      </c>
      <c r="H62" s="83">
        <v>12</v>
      </c>
      <c r="O62" s="78"/>
      <c r="P62" s="78"/>
      <c r="Q62" s="78"/>
      <c r="R62" s="78"/>
    </row>
    <row r="63" spans="2:18" s="79" customFormat="1" x14ac:dyDescent="0.8">
      <c r="E63" s="81" t="s">
        <v>161</v>
      </c>
      <c r="F63" s="79" t="s">
        <v>96</v>
      </c>
      <c r="H63" s="83">
        <v>8</v>
      </c>
      <c r="O63" s="78"/>
      <c r="P63" s="78"/>
      <c r="Q63" s="78"/>
      <c r="R63" s="78"/>
    </row>
    <row r="64" spans="2:18" s="79" customFormat="1" x14ac:dyDescent="0.8">
      <c r="B64" s="79" t="s">
        <v>143</v>
      </c>
      <c r="C64" s="79" t="s">
        <v>146</v>
      </c>
      <c r="E64" s="81" t="s">
        <v>162</v>
      </c>
      <c r="F64" s="79" t="s">
        <v>51</v>
      </c>
      <c r="H64" s="83" t="s">
        <v>43</v>
      </c>
      <c r="O64" s="78"/>
      <c r="P64" s="78"/>
      <c r="Q64" s="78"/>
      <c r="R64" s="78"/>
    </row>
    <row r="65" spans="4:18" s="79" customFormat="1" x14ac:dyDescent="0.8">
      <c r="D65" s="83" t="s">
        <v>98</v>
      </c>
      <c r="E65" s="81" t="s">
        <v>163</v>
      </c>
      <c r="F65" s="79" t="s">
        <v>242</v>
      </c>
      <c r="H65" s="83">
        <v>28</v>
      </c>
      <c r="O65" s="78"/>
      <c r="P65" s="78"/>
      <c r="Q65" s="78"/>
      <c r="R65" s="78"/>
    </row>
    <row r="66" spans="4:18" s="79" customFormat="1" x14ac:dyDescent="0.8">
      <c r="E66" s="81" t="s">
        <v>164</v>
      </c>
      <c r="F66" s="295" t="s">
        <v>338</v>
      </c>
      <c r="G66" s="84"/>
      <c r="H66" s="85">
        <v>26</v>
      </c>
      <c r="O66" s="78"/>
      <c r="P66" s="78"/>
      <c r="Q66" s="78"/>
      <c r="R66" s="78"/>
    </row>
    <row r="67" spans="4:18" s="79" customFormat="1" x14ac:dyDescent="0.8">
      <c r="E67" s="81" t="s">
        <v>325</v>
      </c>
      <c r="F67" s="79" t="s">
        <v>339</v>
      </c>
      <c r="H67" s="85">
        <v>16</v>
      </c>
      <c r="O67" s="78"/>
      <c r="P67" s="78"/>
      <c r="Q67" s="78"/>
      <c r="R67" s="78"/>
    </row>
    <row r="68" spans="4:18" s="79" customFormat="1" x14ac:dyDescent="0.8">
      <c r="E68" s="81" t="s">
        <v>326</v>
      </c>
      <c r="F68" s="79" t="s">
        <v>340</v>
      </c>
      <c r="H68" s="85">
        <v>12</v>
      </c>
      <c r="O68" s="78"/>
      <c r="P68" s="78"/>
      <c r="Q68" s="78"/>
      <c r="R68" s="78"/>
    </row>
    <row r="69" spans="4:18" s="79" customFormat="1" x14ac:dyDescent="0.8">
      <c r="E69" s="81" t="s">
        <v>147</v>
      </c>
      <c r="F69" s="79" t="s">
        <v>381</v>
      </c>
      <c r="H69" s="85">
        <v>12</v>
      </c>
      <c r="O69" s="78"/>
      <c r="P69" s="78"/>
      <c r="Q69" s="78"/>
      <c r="R69" s="78"/>
    </row>
    <row r="70" spans="4:18" s="79" customFormat="1" x14ac:dyDescent="0.8">
      <c r="E70" s="81" t="s">
        <v>148</v>
      </c>
      <c r="F70" s="295" t="s">
        <v>343</v>
      </c>
      <c r="G70" s="84"/>
      <c r="H70" s="85">
        <v>26</v>
      </c>
      <c r="O70" s="78"/>
      <c r="P70" s="78"/>
      <c r="Q70" s="78"/>
      <c r="R70" s="78"/>
    </row>
    <row r="71" spans="4:18" s="79" customFormat="1" x14ac:dyDescent="0.8">
      <c r="E71" s="81" t="s">
        <v>149</v>
      </c>
      <c r="F71" s="79" t="s">
        <v>344</v>
      </c>
      <c r="H71" s="85">
        <v>16</v>
      </c>
      <c r="O71" s="78"/>
      <c r="P71" s="78"/>
      <c r="Q71" s="78"/>
      <c r="R71" s="78"/>
    </row>
    <row r="72" spans="4:18" s="79" customFormat="1" x14ac:dyDescent="0.8">
      <c r="E72" s="81" t="s">
        <v>150</v>
      </c>
      <c r="F72" s="79" t="s">
        <v>345</v>
      </c>
      <c r="H72" s="85">
        <v>12</v>
      </c>
      <c r="O72" s="78"/>
      <c r="P72" s="78"/>
      <c r="Q72" s="78"/>
      <c r="R72" s="78"/>
    </row>
    <row r="73" spans="4:18" s="79" customFormat="1" x14ac:dyDescent="0.8">
      <c r="E73" s="81" t="s">
        <v>151</v>
      </c>
      <c r="F73" s="295" t="s">
        <v>349</v>
      </c>
      <c r="G73" s="84"/>
      <c r="H73" s="85">
        <v>26</v>
      </c>
      <c r="O73" s="78"/>
      <c r="P73" s="78"/>
      <c r="Q73" s="78"/>
      <c r="R73" s="78"/>
    </row>
    <row r="74" spans="4:18" s="79" customFormat="1" x14ac:dyDescent="0.8">
      <c r="E74" s="81" t="s">
        <v>152</v>
      </c>
      <c r="F74" s="79" t="s">
        <v>350</v>
      </c>
      <c r="H74" s="85">
        <v>16</v>
      </c>
      <c r="O74" s="78"/>
      <c r="P74" s="78"/>
      <c r="Q74" s="78"/>
      <c r="R74" s="78"/>
    </row>
    <row r="75" spans="4:18" s="79" customFormat="1" x14ac:dyDescent="0.8">
      <c r="E75" s="81" t="s">
        <v>243</v>
      </c>
      <c r="F75" s="79" t="s">
        <v>351</v>
      </c>
      <c r="H75" s="85">
        <v>12</v>
      </c>
      <c r="O75" s="78"/>
      <c r="P75" s="78"/>
      <c r="Q75" s="78"/>
      <c r="R75" s="78"/>
    </row>
    <row r="76" spans="4:18" s="79" customFormat="1" x14ac:dyDescent="0.8">
      <c r="D76" s="79" t="s">
        <v>101</v>
      </c>
      <c r="E76" s="81" t="s">
        <v>153</v>
      </c>
      <c r="F76" s="79" t="s">
        <v>51</v>
      </c>
      <c r="H76" s="83" t="s">
        <v>43</v>
      </c>
      <c r="O76" s="78"/>
      <c r="P76" s="78"/>
      <c r="Q76" s="78"/>
      <c r="R76" s="78"/>
    </row>
    <row r="77" spans="4:18" s="79" customFormat="1" x14ac:dyDescent="0.8">
      <c r="E77" s="81" t="s">
        <v>154</v>
      </c>
      <c r="F77" s="79" t="s">
        <v>365</v>
      </c>
      <c r="H77" s="83">
        <v>1</v>
      </c>
      <c r="I77" s="79">
        <v>9</v>
      </c>
      <c r="J77" s="79" t="s">
        <v>361</v>
      </c>
      <c r="N77" s="79" t="s">
        <v>372</v>
      </c>
      <c r="O77" s="78" t="s">
        <v>371</v>
      </c>
      <c r="P77" s="78"/>
      <c r="Q77" s="78"/>
      <c r="R77" s="78"/>
    </row>
    <row r="78" spans="4:18" s="79" customFormat="1" x14ac:dyDescent="0.8">
      <c r="E78" s="81" t="s">
        <v>155</v>
      </c>
      <c r="F78" s="79" t="s">
        <v>366</v>
      </c>
      <c r="H78" s="83">
        <v>1</v>
      </c>
      <c r="I78" s="79">
        <v>9</v>
      </c>
      <c r="J78" s="79" t="s">
        <v>361</v>
      </c>
      <c r="N78" s="79" t="s">
        <v>372</v>
      </c>
      <c r="O78" s="78" t="s">
        <v>373</v>
      </c>
      <c r="P78" s="78"/>
      <c r="Q78" s="78"/>
      <c r="R78" s="78"/>
    </row>
    <row r="79" spans="4:18" s="79" customFormat="1" x14ac:dyDescent="0.8">
      <c r="E79" s="81" t="s">
        <v>156</v>
      </c>
      <c r="F79" s="79" t="s">
        <v>362</v>
      </c>
      <c r="H79" s="83">
        <v>0.5</v>
      </c>
      <c r="I79" s="79">
        <v>6</v>
      </c>
      <c r="J79" s="79" t="s">
        <v>360</v>
      </c>
      <c r="N79" s="79" t="s">
        <v>372</v>
      </c>
      <c r="O79" s="78" t="s">
        <v>373</v>
      </c>
      <c r="P79" s="78"/>
      <c r="Q79" s="78"/>
      <c r="R79" s="78"/>
    </row>
    <row r="80" spans="4:18" s="79" customFormat="1" x14ac:dyDescent="0.8">
      <c r="E80" s="81" t="s">
        <v>157</v>
      </c>
      <c r="F80" s="79" t="s">
        <v>358</v>
      </c>
      <c r="H80" s="83">
        <v>0.5</v>
      </c>
      <c r="J80" s="79" t="s">
        <v>359</v>
      </c>
      <c r="N80" s="79" t="s">
        <v>372</v>
      </c>
      <c r="O80" s="78" t="s">
        <v>373</v>
      </c>
      <c r="P80" s="78"/>
      <c r="Q80" s="78"/>
      <c r="R80" s="78"/>
    </row>
    <row r="81" spans="4:18" s="79" customFormat="1" x14ac:dyDescent="0.8">
      <c r="E81" s="81" t="s">
        <v>158</v>
      </c>
      <c r="F81" s="79" t="s">
        <v>252</v>
      </c>
      <c r="H81" s="83">
        <v>3</v>
      </c>
      <c r="N81" s="79" t="s">
        <v>372</v>
      </c>
      <c r="O81" s="78" t="s">
        <v>374</v>
      </c>
      <c r="P81" s="78"/>
      <c r="Q81" s="78"/>
      <c r="R81" s="78"/>
    </row>
    <row r="82" spans="4:18" s="79" customFormat="1" x14ac:dyDescent="0.8">
      <c r="E82" s="81" t="s">
        <v>159</v>
      </c>
      <c r="F82" s="79" t="s">
        <v>253</v>
      </c>
      <c r="H82" s="83">
        <v>2</v>
      </c>
      <c r="N82" s="79" t="s">
        <v>372</v>
      </c>
      <c r="O82" s="78" t="s">
        <v>374</v>
      </c>
      <c r="P82" s="78"/>
      <c r="Q82" s="78"/>
      <c r="R82" s="78"/>
    </row>
    <row r="83" spans="4:18" s="79" customFormat="1" x14ac:dyDescent="0.8">
      <c r="E83" s="81" t="s">
        <v>159</v>
      </c>
      <c r="F83" s="79" t="s">
        <v>254</v>
      </c>
      <c r="H83" s="83">
        <v>1</v>
      </c>
      <c r="N83" s="79" t="s">
        <v>372</v>
      </c>
      <c r="O83" s="78" t="s">
        <v>374</v>
      </c>
      <c r="P83" s="78"/>
      <c r="Q83" s="78"/>
      <c r="R83" s="78"/>
    </row>
    <row r="84" spans="4:18" s="79" customFormat="1" x14ac:dyDescent="0.8">
      <c r="E84" s="81" t="s">
        <v>160</v>
      </c>
      <c r="F84" s="79" t="s">
        <v>251</v>
      </c>
      <c r="H84" s="83">
        <v>3</v>
      </c>
      <c r="N84" s="79" t="s">
        <v>372</v>
      </c>
      <c r="O84" s="78" t="s">
        <v>374</v>
      </c>
      <c r="P84" s="78"/>
      <c r="Q84" s="78"/>
      <c r="R84" s="78"/>
    </row>
    <row r="85" spans="4:18" s="79" customFormat="1" x14ac:dyDescent="0.8">
      <c r="E85" s="81" t="s">
        <v>244</v>
      </c>
      <c r="F85" s="79" t="s">
        <v>368</v>
      </c>
      <c r="H85" s="83">
        <v>2</v>
      </c>
      <c r="N85" s="79" t="s">
        <v>372</v>
      </c>
      <c r="O85" s="78" t="s">
        <v>374</v>
      </c>
      <c r="P85" s="78"/>
      <c r="Q85" s="78"/>
      <c r="R85" s="78"/>
    </row>
    <row r="86" spans="4:18" s="79" customFormat="1" x14ac:dyDescent="0.8">
      <c r="E86" s="81" t="s">
        <v>200</v>
      </c>
      <c r="F86" s="79" t="s">
        <v>367</v>
      </c>
      <c r="H86" s="83">
        <v>1</v>
      </c>
      <c r="N86" s="79" t="s">
        <v>372</v>
      </c>
      <c r="O86" s="78" t="s">
        <v>374</v>
      </c>
      <c r="P86" s="78"/>
      <c r="Q86" s="78"/>
      <c r="R86" s="78"/>
    </row>
    <row r="87" spans="4:18" s="79" customFormat="1" x14ac:dyDescent="0.8">
      <c r="D87" s="79" t="s">
        <v>105</v>
      </c>
      <c r="E87" s="81" t="s">
        <v>245</v>
      </c>
      <c r="F87" s="79" t="s">
        <v>51</v>
      </c>
      <c r="H87" s="83" t="s">
        <v>107</v>
      </c>
      <c r="O87" s="78"/>
      <c r="P87" s="78"/>
      <c r="Q87" s="78"/>
      <c r="R87" s="78"/>
    </row>
    <row r="88" spans="4:18" s="79" customFormat="1" x14ac:dyDescent="0.8">
      <c r="E88" s="81" t="s">
        <v>209</v>
      </c>
      <c r="F88" s="79" t="s">
        <v>106</v>
      </c>
      <c r="H88" s="85">
        <v>4</v>
      </c>
      <c r="N88" s="79" t="s">
        <v>372</v>
      </c>
      <c r="O88" s="78" t="s">
        <v>374</v>
      </c>
      <c r="P88" s="78"/>
      <c r="Q88" s="78"/>
      <c r="R88" s="78"/>
    </row>
    <row r="89" spans="4:18" s="79" customFormat="1" x14ac:dyDescent="0.8">
      <c r="E89" s="81" t="s">
        <v>327</v>
      </c>
      <c r="F89" s="79" t="s">
        <v>108</v>
      </c>
      <c r="H89" s="85">
        <v>3</v>
      </c>
      <c r="N89" s="79" t="s">
        <v>372</v>
      </c>
      <c r="O89" s="78" t="s">
        <v>374</v>
      </c>
      <c r="P89" s="78"/>
      <c r="Q89" s="78"/>
      <c r="R89" s="78"/>
    </row>
    <row r="90" spans="4:18" s="79" customFormat="1" x14ac:dyDescent="0.8">
      <c r="E90" s="81" t="s">
        <v>210</v>
      </c>
      <c r="F90" s="79" t="s">
        <v>109</v>
      </c>
      <c r="H90" s="85">
        <v>3</v>
      </c>
      <c r="N90" s="79" t="s">
        <v>372</v>
      </c>
      <c r="O90" s="78" t="s">
        <v>374</v>
      </c>
      <c r="P90" s="78"/>
      <c r="Q90" s="78"/>
      <c r="R90" s="78"/>
    </row>
    <row r="91" spans="4:18" s="79" customFormat="1" x14ac:dyDescent="0.8">
      <c r="E91" s="81" t="s">
        <v>246</v>
      </c>
      <c r="F91" s="79" t="s">
        <v>110</v>
      </c>
      <c r="H91" s="85">
        <v>2</v>
      </c>
      <c r="N91" s="79" t="s">
        <v>372</v>
      </c>
      <c r="O91" s="78" t="s">
        <v>374</v>
      </c>
      <c r="P91" s="78"/>
      <c r="Q91" s="78"/>
      <c r="R91" s="78"/>
    </row>
    <row r="92" spans="4:18" s="79" customFormat="1" x14ac:dyDescent="0.8">
      <c r="E92" s="81" t="s">
        <v>328</v>
      </c>
      <c r="F92" s="79" t="s">
        <v>247</v>
      </c>
      <c r="H92" s="85">
        <v>3</v>
      </c>
      <c r="N92" s="79" t="s">
        <v>372</v>
      </c>
      <c r="O92" s="78" t="s">
        <v>374</v>
      </c>
      <c r="P92" s="78"/>
      <c r="Q92" s="78"/>
      <c r="R92" s="78"/>
    </row>
    <row r="93" spans="4:18" s="79" customFormat="1" x14ac:dyDescent="0.8">
      <c r="E93" s="81" t="s">
        <v>328</v>
      </c>
      <c r="F93" s="79" t="s">
        <v>111</v>
      </c>
      <c r="H93" s="85">
        <v>1</v>
      </c>
      <c r="O93" s="78"/>
      <c r="P93" s="78"/>
      <c r="Q93" s="78"/>
      <c r="R93" s="78"/>
    </row>
    <row r="94" spans="4:18" s="79" customFormat="1" x14ac:dyDescent="0.8">
      <c r="E94" s="81" t="s">
        <v>248</v>
      </c>
      <c r="F94" s="79" t="s">
        <v>112</v>
      </c>
      <c r="H94" s="85">
        <v>3</v>
      </c>
      <c r="O94" s="78"/>
      <c r="P94" s="78"/>
      <c r="Q94" s="78"/>
      <c r="R94" s="78"/>
    </row>
    <row r="95" spans="4:18" s="79" customFormat="1" x14ac:dyDescent="0.8">
      <c r="E95" s="81" t="s">
        <v>249</v>
      </c>
      <c r="F95" s="79" t="s">
        <v>113</v>
      </c>
      <c r="H95" s="85">
        <v>2</v>
      </c>
      <c r="O95" s="78"/>
      <c r="P95" s="78"/>
      <c r="Q95" s="78"/>
      <c r="R95" s="78"/>
    </row>
    <row r="96" spans="4:18" s="79" customFormat="1" x14ac:dyDescent="0.8">
      <c r="E96" s="81" t="s">
        <v>250</v>
      </c>
      <c r="F96" s="79" t="s">
        <v>247</v>
      </c>
      <c r="H96" s="85">
        <v>3</v>
      </c>
      <c r="O96" s="78"/>
      <c r="P96" s="78"/>
      <c r="Q96" s="78"/>
      <c r="R96" s="78"/>
    </row>
    <row r="97" spans="2:18" s="79" customFormat="1" x14ac:dyDescent="0.8">
      <c r="B97" s="79" t="s">
        <v>143</v>
      </c>
      <c r="C97" s="79" t="s">
        <v>199</v>
      </c>
      <c r="E97" s="81" t="s">
        <v>329</v>
      </c>
      <c r="O97" s="78"/>
      <c r="P97" s="78"/>
      <c r="Q97" s="78"/>
      <c r="R97" s="78"/>
    </row>
    <row r="98" spans="2:18" s="79" customFormat="1" x14ac:dyDescent="0.8">
      <c r="D98" s="79" t="s">
        <v>51</v>
      </c>
      <c r="E98" s="81" t="s">
        <v>331</v>
      </c>
      <c r="F98" s="79" t="s">
        <v>115</v>
      </c>
      <c r="O98" s="78"/>
      <c r="P98" s="78"/>
      <c r="Q98" s="78"/>
      <c r="R98" s="78"/>
    </row>
    <row r="99" spans="2:18" s="79" customFormat="1" x14ac:dyDescent="0.8">
      <c r="E99" s="81" t="s">
        <v>341</v>
      </c>
      <c r="F99" s="79" t="s">
        <v>116</v>
      </c>
      <c r="O99" s="78"/>
      <c r="P99" s="78"/>
      <c r="Q99" s="78"/>
      <c r="R99" s="78"/>
    </row>
    <row r="100" spans="2:18" s="79" customFormat="1" x14ac:dyDescent="0.8">
      <c r="B100" s="79" t="s">
        <v>143</v>
      </c>
      <c r="C100" s="79" t="s">
        <v>22</v>
      </c>
      <c r="E100" s="81" t="s">
        <v>342</v>
      </c>
      <c r="O100" s="78"/>
      <c r="P100" s="78"/>
      <c r="Q100" s="78"/>
      <c r="R100" s="78"/>
    </row>
    <row r="101" spans="2:18" s="79" customFormat="1" x14ac:dyDescent="0.8">
      <c r="D101" s="79" t="s">
        <v>207</v>
      </c>
      <c r="E101" s="81" t="s">
        <v>346</v>
      </c>
      <c r="F101" s="79" t="s">
        <v>208</v>
      </c>
      <c r="O101" s="78"/>
      <c r="P101" s="78"/>
      <c r="Q101" s="78"/>
      <c r="R101" s="78"/>
    </row>
    <row r="102" spans="2:18" s="79" customFormat="1" x14ac:dyDescent="0.8">
      <c r="E102" s="81" t="s">
        <v>347</v>
      </c>
      <c r="F102" s="79" t="s">
        <v>211</v>
      </c>
      <c r="O102" s="78"/>
      <c r="P102" s="78"/>
      <c r="Q102" s="78"/>
      <c r="R102" s="78"/>
    </row>
    <row r="103" spans="2:18" s="79" customFormat="1" x14ac:dyDescent="0.8">
      <c r="E103" s="81" t="s">
        <v>348</v>
      </c>
      <c r="F103" s="79" t="s">
        <v>212</v>
      </c>
      <c r="O103" s="78"/>
      <c r="P103" s="78"/>
      <c r="Q103" s="78"/>
      <c r="R103" s="78"/>
    </row>
    <row r="104" spans="2:18" s="79" customFormat="1" x14ac:dyDescent="0.8">
      <c r="E104" s="81"/>
      <c r="O104" s="78"/>
      <c r="P104" s="78"/>
      <c r="Q104" s="78"/>
      <c r="R104" s="84"/>
    </row>
    <row r="105" spans="2:18" s="79" customFormat="1" x14ac:dyDescent="0.8">
      <c r="E105" s="81"/>
      <c r="O105" s="78"/>
      <c r="P105" s="78"/>
      <c r="Q105" s="78"/>
    </row>
    <row r="106" spans="2:18" s="79" customFormat="1" x14ac:dyDescent="0.8">
      <c r="E106" s="81"/>
      <c r="O106" s="78"/>
      <c r="P106" s="78"/>
      <c r="Q106" s="78"/>
      <c r="R106" s="78"/>
    </row>
    <row r="107" spans="2:18" s="79" customFormat="1" x14ac:dyDescent="0.8">
      <c r="E107" s="81"/>
      <c r="O107" s="78"/>
      <c r="P107" s="78"/>
      <c r="Q107" s="78"/>
      <c r="R107" s="78"/>
    </row>
    <row r="108" spans="2:18" s="79" customFormat="1" x14ac:dyDescent="0.8">
      <c r="E108" s="81"/>
      <c r="O108" s="78"/>
      <c r="P108" s="78"/>
      <c r="Q108" s="78"/>
      <c r="R108" s="78"/>
    </row>
    <row r="109" spans="2:18" s="79" customFormat="1" x14ac:dyDescent="0.8">
      <c r="E109" s="81"/>
      <c r="O109" s="78"/>
      <c r="P109" s="78"/>
      <c r="Q109" s="78"/>
      <c r="R109" s="78"/>
    </row>
    <row r="110" spans="2:18" s="79" customFormat="1" x14ac:dyDescent="0.8">
      <c r="E110" s="81"/>
      <c r="O110" s="78"/>
      <c r="P110" s="78"/>
      <c r="Q110" s="78"/>
      <c r="R110" s="78"/>
    </row>
    <row r="111" spans="2:18" s="79" customFormat="1" x14ac:dyDescent="0.8">
      <c r="E111" s="81"/>
      <c r="O111" s="78"/>
      <c r="P111" s="78"/>
      <c r="Q111" s="78"/>
      <c r="R111" s="78"/>
    </row>
    <row r="112" spans="2:18" s="79" customFormat="1" x14ac:dyDescent="0.8">
      <c r="E112" s="81"/>
      <c r="O112" s="78"/>
      <c r="P112" s="78"/>
      <c r="Q112" s="78"/>
      <c r="R112" s="78"/>
    </row>
    <row r="113" spans="5:18" s="79" customFormat="1" x14ac:dyDescent="0.8">
      <c r="E113" s="81"/>
      <c r="O113" s="78"/>
      <c r="P113" s="78"/>
      <c r="Q113" s="78"/>
      <c r="R113" s="78"/>
    </row>
    <row r="114" spans="5:18" s="79" customFormat="1" x14ac:dyDescent="0.8">
      <c r="E114" s="81"/>
      <c r="O114" s="78"/>
      <c r="P114" s="78"/>
      <c r="Q114" s="78"/>
      <c r="R114" s="78"/>
    </row>
    <row r="115" spans="5:18" s="79" customFormat="1" x14ac:dyDescent="0.8">
      <c r="E115" s="81"/>
      <c r="O115" s="78"/>
      <c r="P115" s="78"/>
      <c r="Q115" s="78"/>
      <c r="R115" s="78"/>
    </row>
    <row r="116" spans="5:18" s="79" customFormat="1" x14ac:dyDescent="0.8">
      <c r="E116" s="81"/>
      <c r="O116" s="78"/>
      <c r="P116" s="78"/>
      <c r="Q116" s="78"/>
      <c r="R116" s="78"/>
    </row>
    <row r="117" spans="5:18" s="79" customFormat="1" x14ac:dyDescent="0.8">
      <c r="E117" s="81"/>
      <c r="O117" s="78"/>
      <c r="P117" s="78"/>
      <c r="Q117" s="78"/>
      <c r="R117" s="78"/>
    </row>
    <row r="118" spans="5:18" s="79" customFormat="1" x14ac:dyDescent="0.8">
      <c r="E118" s="81"/>
      <c r="O118" s="78"/>
      <c r="P118" s="78"/>
      <c r="Q118" s="78"/>
      <c r="R118" s="78"/>
    </row>
    <row r="119" spans="5:18" s="79" customFormat="1" x14ac:dyDescent="0.8">
      <c r="E119" s="81"/>
      <c r="O119" s="78"/>
      <c r="P119" s="78"/>
      <c r="Q119" s="78"/>
      <c r="R119" s="78"/>
    </row>
    <row r="120" spans="5:18" s="79" customFormat="1" x14ac:dyDescent="0.8">
      <c r="E120" s="81"/>
      <c r="O120" s="78"/>
      <c r="P120" s="78"/>
      <c r="Q120" s="78"/>
      <c r="R120" s="78"/>
    </row>
    <row r="121" spans="5:18" s="79" customFormat="1" x14ac:dyDescent="0.8">
      <c r="E121" s="81"/>
      <c r="O121" s="78"/>
      <c r="P121" s="78"/>
      <c r="Q121" s="78"/>
      <c r="R121" s="78"/>
    </row>
    <row r="122" spans="5:18" s="79" customFormat="1" x14ac:dyDescent="0.8">
      <c r="E122" s="81"/>
      <c r="O122" s="78"/>
      <c r="P122" s="78"/>
      <c r="Q122" s="78"/>
      <c r="R122" s="78"/>
    </row>
    <row r="123" spans="5:18" s="79" customFormat="1" x14ac:dyDescent="0.8">
      <c r="E123" s="81"/>
      <c r="O123" s="78"/>
      <c r="P123" s="78"/>
      <c r="Q123" s="78"/>
      <c r="R123" s="78"/>
    </row>
    <row r="124" spans="5:18" s="79" customFormat="1" x14ac:dyDescent="0.8">
      <c r="E124" s="81"/>
      <c r="O124" s="78"/>
      <c r="P124" s="78"/>
      <c r="Q124" s="78"/>
      <c r="R124" s="78"/>
    </row>
    <row r="125" spans="5:18" s="79" customFormat="1" x14ac:dyDescent="0.8">
      <c r="E125" s="81"/>
      <c r="O125" s="78"/>
      <c r="P125" s="78"/>
      <c r="Q125" s="78"/>
      <c r="R125" s="78"/>
    </row>
    <row r="126" spans="5:18" s="79" customFormat="1" x14ac:dyDescent="0.8">
      <c r="E126" s="81"/>
      <c r="O126" s="78"/>
      <c r="P126" s="78"/>
      <c r="Q126" s="78"/>
      <c r="R126" s="78"/>
    </row>
    <row r="127" spans="5:18" s="79" customFormat="1" x14ac:dyDescent="0.8">
      <c r="E127" s="81"/>
      <c r="O127" s="78"/>
      <c r="P127" s="78"/>
      <c r="Q127" s="78"/>
      <c r="R127" s="78"/>
    </row>
    <row r="128" spans="5:18" s="79" customFormat="1" x14ac:dyDescent="0.8">
      <c r="E128" s="81"/>
      <c r="O128" s="78"/>
      <c r="P128" s="78"/>
      <c r="Q128" s="78"/>
      <c r="R128" s="78"/>
    </row>
    <row r="129" spans="5:18" s="79" customFormat="1" x14ac:dyDescent="0.8">
      <c r="E129" s="81"/>
      <c r="O129" s="78"/>
      <c r="P129" s="78"/>
      <c r="Q129" s="78"/>
      <c r="R129" s="78"/>
    </row>
    <row r="130" spans="5:18" s="79" customFormat="1" x14ac:dyDescent="0.8">
      <c r="E130" s="81"/>
      <c r="O130" s="78"/>
      <c r="P130" s="78"/>
      <c r="Q130" s="78"/>
      <c r="R130" s="78"/>
    </row>
    <row r="131" spans="5:18" s="79" customFormat="1" x14ac:dyDescent="0.8">
      <c r="E131" s="81"/>
      <c r="O131" s="78"/>
      <c r="P131" s="78"/>
      <c r="Q131" s="78"/>
      <c r="R131" s="78"/>
    </row>
    <row r="132" spans="5:18" s="79" customFormat="1" x14ac:dyDescent="0.8">
      <c r="E132" s="81"/>
      <c r="O132" s="78"/>
      <c r="P132" s="78"/>
      <c r="Q132" s="78"/>
      <c r="R132" s="78"/>
    </row>
    <row r="133" spans="5:18" s="79" customFormat="1" x14ac:dyDescent="0.8">
      <c r="E133" s="81"/>
      <c r="O133" s="78"/>
      <c r="P133" s="78"/>
      <c r="Q133" s="78"/>
      <c r="R133" s="78"/>
    </row>
    <row r="134" spans="5:18" s="79" customFormat="1" x14ac:dyDescent="0.8">
      <c r="E134" s="81"/>
      <c r="O134" s="78"/>
      <c r="P134" s="78"/>
      <c r="Q134" s="78"/>
      <c r="R134" s="78"/>
    </row>
    <row r="135" spans="5:18" s="79" customFormat="1" x14ac:dyDescent="0.8">
      <c r="E135" s="81"/>
      <c r="O135" s="78"/>
      <c r="P135" s="78"/>
      <c r="Q135" s="78"/>
      <c r="R135" s="78"/>
    </row>
    <row r="136" spans="5:18" s="79" customFormat="1" x14ac:dyDescent="0.8">
      <c r="E136" s="81"/>
      <c r="O136" s="78"/>
      <c r="P136" s="78"/>
      <c r="Q136" s="78"/>
      <c r="R136" s="78"/>
    </row>
    <row r="137" spans="5:18" s="79" customFormat="1" x14ac:dyDescent="0.8">
      <c r="E137" s="81"/>
      <c r="O137" s="78"/>
      <c r="P137" s="78"/>
      <c r="Q137" s="78"/>
      <c r="R137" s="78"/>
    </row>
    <row r="138" spans="5:18" s="79" customFormat="1" x14ac:dyDescent="0.8">
      <c r="E138" s="81"/>
      <c r="O138" s="78"/>
      <c r="P138" s="78"/>
      <c r="Q138" s="78"/>
      <c r="R138" s="78"/>
    </row>
    <row r="139" spans="5:18" s="79" customFormat="1" x14ac:dyDescent="0.8">
      <c r="E139" s="81"/>
      <c r="O139" s="78"/>
      <c r="P139" s="78"/>
      <c r="Q139" s="78"/>
      <c r="R139" s="78"/>
    </row>
    <row r="140" spans="5:18" s="79" customFormat="1" x14ac:dyDescent="0.8">
      <c r="E140" s="81"/>
      <c r="O140" s="78"/>
      <c r="P140" s="78"/>
      <c r="Q140" s="78"/>
      <c r="R140" s="78"/>
    </row>
    <row r="141" spans="5:18" s="79" customFormat="1" x14ac:dyDescent="0.8">
      <c r="E141" s="81"/>
      <c r="O141" s="78"/>
      <c r="P141" s="78"/>
      <c r="Q141" s="78"/>
      <c r="R141" s="78"/>
    </row>
    <row r="142" spans="5:18" s="79" customFormat="1" x14ac:dyDescent="0.8">
      <c r="E142" s="81"/>
      <c r="O142" s="78"/>
      <c r="P142" s="78"/>
      <c r="Q142" s="78"/>
      <c r="R142" s="78"/>
    </row>
    <row r="143" spans="5:18" s="79" customFormat="1" x14ac:dyDescent="0.8">
      <c r="E143" s="81"/>
      <c r="O143" s="78"/>
      <c r="P143" s="78"/>
      <c r="Q143" s="78"/>
      <c r="R143" s="78"/>
    </row>
    <row r="144" spans="5:18" s="79" customFormat="1" x14ac:dyDescent="0.8">
      <c r="E144" s="81"/>
      <c r="O144" s="78"/>
      <c r="P144" s="78"/>
      <c r="Q144" s="78"/>
      <c r="R144" s="78"/>
    </row>
    <row r="145" spans="5:18" s="79" customFormat="1" x14ac:dyDescent="0.8">
      <c r="E145" s="81"/>
      <c r="O145" s="78"/>
      <c r="P145" s="78"/>
      <c r="Q145" s="78"/>
      <c r="R145" s="78"/>
    </row>
    <row r="146" spans="5:18" s="79" customFormat="1" x14ac:dyDescent="0.8">
      <c r="E146" s="81"/>
      <c r="O146" s="78"/>
      <c r="P146" s="78"/>
      <c r="Q146" s="78"/>
      <c r="R146" s="78"/>
    </row>
    <row r="147" spans="5:18" s="79" customFormat="1" x14ac:dyDescent="0.8">
      <c r="E147" s="81"/>
      <c r="O147" s="78"/>
      <c r="P147" s="78"/>
      <c r="Q147" s="78"/>
      <c r="R147" s="78"/>
    </row>
    <row r="148" spans="5:18" s="79" customFormat="1" x14ac:dyDescent="0.8">
      <c r="E148" s="81"/>
      <c r="O148" s="78"/>
      <c r="P148" s="78"/>
      <c r="Q148" s="78"/>
      <c r="R148" s="78"/>
    </row>
    <row r="149" spans="5:18" s="79" customFormat="1" x14ac:dyDescent="0.8">
      <c r="E149" s="81"/>
      <c r="O149" s="78"/>
      <c r="P149" s="78"/>
      <c r="Q149" s="78"/>
      <c r="R149" s="78"/>
    </row>
    <row r="150" spans="5:18" s="79" customFormat="1" x14ac:dyDescent="0.8">
      <c r="E150" s="81"/>
      <c r="O150" s="78"/>
      <c r="P150" s="78"/>
      <c r="Q150" s="78"/>
      <c r="R150" s="78"/>
    </row>
    <row r="151" spans="5:18" s="79" customFormat="1" x14ac:dyDescent="0.8">
      <c r="E151" s="81"/>
      <c r="O151" s="78"/>
      <c r="P151" s="78"/>
      <c r="Q151" s="78"/>
      <c r="R151" s="78"/>
    </row>
    <row r="152" spans="5:18" s="79" customFormat="1" x14ac:dyDescent="0.8">
      <c r="E152" s="81"/>
      <c r="O152" s="78"/>
      <c r="P152" s="78"/>
      <c r="Q152" s="78"/>
      <c r="R152" s="78"/>
    </row>
    <row r="153" spans="5:18" s="79" customFormat="1" x14ac:dyDescent="0.8">
      <c r="E153" s="81"/>
      <c r="O153" s="78"/>
      <c r="P153" s="78"/>
      <c r="Q153" s="78"/>
      <c r="R153" s="78"/>
    </row>
    <row r="154" spans="5:18" s="79" customFormat="1" x14ac:dyDescent="0.8">
      <c r="E154" s="81"/>
      <c r="O154" s="78"/>
      <c r="P154" s="78"/>
      <c r="Q154" s="78"/>
      <c r="R154" s="78"/>
    </row>
    <row r="155" spans="5:18" s="79" customFormat="1" x14ac:dyDescent="0.8">
      <c r="E155" s="81"/>
      <c r="O155" s="78"/>
      <c r="P155" s="78"/>
      <c r="Q155" s="78"/>
      <c r="R155" s="78"/>
    </row>
    <row r="156" spans="5:18" s="79" customFormat="1" x14ac:dyDescent="0.8">
      <c r="E156" s="81"/>
      <c r="O156" s="78"/>
      <c r="P156" s="78"/>
      <c r="Q156" s="78"/>
      <c r="R156" s="78"/>
    </row>
    <row r="157" spans="5:18" s="79" customFormat="1" x14ac:dyDescent="0.8">
      <c r="E157" s="81"/>
      <c r="O157" s="78"/>
      <c r="P157" s="78"/>
      <c r="Q157" s="78"/>
      <c r="R157" s="78"/>
    </row>
    <row r="158" spans="5:18" s="79" customFormat="1" x14ac:dyDescent="0.8">
      <c r="E158" s="81"/>
      <c r="O158" s="78"/>
      <c r="P158" s="78"/>
      <c r="Q158" s="78"/>
      <c r="R158" s="78"/>
    </row>
    <row r="159" spans="5:18" s="79" customFormat="1" x14ac:dyDescent="0.8">
      <c r="E159" s="81"/>
      <c r="O159" s="78"/>
      <c r="P159" s="78"/>
      <c r="Q159" s="78"/>
      <c r="R159" s="78"/>
    </row>
    <row r="160" spans="5:18" s="79" customFormat="1" x14ac:dyDescent="0.8">
      <c r="E160" s="81"/>
      <c r="O160" s="78"/>
      <c r="P160" s="78"/>
      <c r="Q160" s="78"/>
      <c r="R160" s="78"/>
    </row>
    <row r="161" spans="5:18" s="79" customFormat="1" x14ac:dyDescent="0.8">
      <c r="E161" s="81"/>
      <c r="O161" s="78"/>
      <c r="P161" s="78"/>
      <c r="Q161" s="78"/>
      <c r="R161" s="78"/>
    </row>
    <row r="162" spans="5:18" s="79" customFormat="1" x14ac:dyDescent="0.8">
      <c r="E162" s="81"/>
      <c r="O162" s="78"/>
      <c r="P162" s="78"/>
      <c r="Q162" s="78"/>
      <c r="R162" s="78"/>
    </row>
    <row r="163" spans="5:18" s="79" customFormat="1" x14ac:dyDescent="0.8">
      <c r="E163" s="81"/>
      <c r="O163" s="78"/>
      <c r="P163" s="78"/>
      <c r="Q163" s="78"/>
      <c r="R163" s="78"/>
    </row>
    <row r="164" spans="5:18" s="79" customFormat="1" x14ac:dyDescent="0.8">
      <c r="E164" s="81"/>
      <c r="O164" s="78"/>
      <c r="P164" s="78"/>
      <c r="Q164" s="78"/>
      <c r="R164" s="78"/>
    </row>
    <row r="165" spans="5:18" s="79" customFormat="1" x14ac:dyDescent="0.8">
      <c r="E165" s="81"/>
      <c r="O165" s="78"/>
      <c r="P165" s="78"/>
      <c r="Q165" s="78"/>
      <c r="R165" s="78"/>
    </row>
    <row r="166" spans="5:18" s="79" customFormat="1" x14ac:dyDescent="0.8">
      <c r="E166" s="81"/>
      <c r="O166" s="78"/>
      <c r="P166" s="78"/>
      <c r="Q166" s="78"/>
      <c r="R166" s="78"/>
    </row>
    <row r="167" spans="5:18" s="79" customFormat="1" x14ac:dyDescent="0.8">
      <c r="E167" s="81"/>
      <c r="O167" s="78"/>
      <c r="P167" s="78"/>
      <c r="Q167" s="78"/>
      <c r="R167" s="78"/>
    </row>
    <row r="168" spans="5:18" s="79" customFormat="1" x14ac:dyDescent="0.8">
      <c r="E168" s="81"/>
      <c r="O168" s="78"/>
      <c r="P168" s="78"/>
      <c r="Q168" s="78"/>
      <c r="R168" s="78"/>
    </row>
    <row r="169" spans="5:18" s="79" customFormat="1" x14ac:dyDescent="0.8">
      <c r="E169" s="81"/>
      <c r="O169" s="78"/>
      <c r="P169" s="78"/>
      <c r="Q169" s="78"/>
      <c r="R169" s="78"/>
    </row>
    <row r="170" spans="5:18" s="79" customFormat="1" x14ac:dyDescent="0.8">
      <c r="E170" s="81"/>
      <c r="O170" s="78"/>
      <c r="P170" s="78"/>
      <c r="Q170" s="78"/>
      <c r="R170" s="78"/>
    </row>
    <row r="171" spans="5:18" s="79" customFormat="1" x14ac:dyDescent="0.8">
      <c r="E171" s="81"/>
      <c r="O171" s="78"/>
      <c r="P171" s="78"/>
      <c r="Q171" s="78"/>
      <c r="R171" s="78"/>
    </row>
    <row r="172" spans="5:18" s="79" customFormat="1" x14ac:dyDescent="0.8">
      <c r="E172" s="81"/>
      <c r="O172" s="78"/>
      <c r="P172" s="78"/>
      <c r="Q172" s="78"/>
      <c r="R172" s="78"/>
    </row>
    <row r="173" spans="5:18" s="79" customFormat="1" x14ac:dyDescent="0.8">
      <c r="E173" s="81"/>
      <c r="O173" s="78"/>
      <c r="P173" s="78"/>
      <c r="Q173" s="78"/>
      <c r="R173" s="78"/>
    </row>
    <row r="174" spans="5:18" s="79" customFormat="1" x14ac:dyDescent="0.8">
      <c r="E174" s="81"/>
      <c r="O174" s="78"/>
      <c r="P174" s="78"/>
      <c r="Q174" s="78"/>
      <c r="R174" s="78"/>
    </row>
    <row r="175" spans="5:18" s="79" customFormat="1" x14ac:dyDescent="0.8">
      <c r="E175" s="81"/>
      <c r="O175" s="78"/>
      <c r="P175" s="78"/>
      <c r="Q175" s="78"/>
      <c r="R175" s="78"/>
    </row>
    <row r="176" spans="5:18" s="79" customFormat="1" x14ac:dyDescent="0.8">
      <c r="E176" s="81"/>
      <c r="O176" s="78"/>
      <c r="P176" s="78"/>
      <c r="Q176" s="78"/>
      <c r="R176" s="78"/>
    </row>
    <row r="177" spans="5:18" s="79" customFormat="1" x14ac:dyDescent="0.8">
      <c r="E177" s="81"/>
      <c r="O177" s="78"/>
      <c r="P177" s="78"/>
      <c r="Q177" s="78"/>
      <c r="R177" s="78"/>
    </row>
    <row r="178" spans="5:18" s="79" customFormat="1" x14ac:dyDescent="0.8">
      <c r="E178" s="81"/>
      <c r="O178" s="78"/>
      <c r="P178" s="78"/>
      <c r="Q178" s="78"/>
      <c r="R178" s="78"/>
    </row>
    <row r="179" spans="5:18" s="79" customFormat="1" x14ac:dyDescent="0.8">
      <c r="E179" s="81"/>
      <c r="O179" s="78"/>
      <c r="P179" s="78"/>
      <c r="Q179" s="78"/>
      <c r="R179" s="78"/>
    </row>
    <row r="180" spans="5:18" s="79" customFormat="1" x14ac:dyDescent="0.8">
      <c r="E180" s="81"/>
      <c r="O180" s="78"/>
      <c r="P180" s="78"/>
      <c r="Q180" s="78"/>
      <c r="R180" s="78"/>
    </row>
    <row r="181" spans="5:18" s="79" customFormat="1" x14ac:dyDescent="0.8">
      <c r="E181" s="81"/>
      <c r="O181" s="78"/>
      <c r="P181" s="78"/>
      <c r="Q181" s="78"/>
      <c r="R181" s="78"/>
    </row>
    <row r="182" spans="5:18" s="79" customFormat="1" x14ac:dyDescent="0.8">
      <c r="E182" s="81"/>
      <c r="O182" s="78"/>
      <c r="P182" s="78"/>
      <c r="Q182" s="78"/>
      <c r="R182" s="78"/>
    </row>
    <row r="183" spans="5:18" s="79" customFormat="1" x14ac:dyDescent="0.8">
      <c r="E183" s="81"/>
      <c r="O183" s="78"/>
      <c r="P183" s="78"/>
      <c r="Q183" s="78"/>
      <c r="R183" s="78"/>
    </row>
    <row r="184" spans="5:18" s="79" customFormat="1" x14ac:dyDescent="0.8">
      <c r="E184" s="81"/>
      <c r="O184" s="78"/>
      <c r="P184" s="78"/>
      <c r="Q184" s="78"/>
      <c r="R184" s="78"/>
    </row>
    <row r="185" spans="5:18" s="79" customFormat="1" x14ac:dyDescent="0.8">
      <c r="E185" s="81"/>
      <c r="O185" s="78"/>
      <c r="P185" s="78"/>
      <c r="Q185" s="78"/>
      <c r="R185" s="78"/>
    </row>
    <row r="186" spans="5:18" s="79" customFormat="1" x14ac:dyDescent="0.8">
      <c r="E186" s="81"/>
      <c r="O186" s="78"/>
      <c r="P186" s="78"/>
      <c r="Q186" s="78"/>
      <c r="R186" s="78"/>
    </row>
    <row r="187" spans="5:18" s="79" customFormat="1" x14ac:dyDescent="0.8">
      <c r="E187" s="81"/>
      <c r="O187" s="78"/>
      <c r="P187" s="78"/>
      <c r="Q187" s="78"/>
      <c r="R187" s="78"/>
    </row>
    <row r="188" spans="5:18" s="79" customFormat="1" x14ac:dyDescent="0.8">
      <c r="E188" s="81"/>
      <c r="O188" s="78"/>
      <c r="P188" s="78"/>
      <c r="Q188" s="78"/>
      <c r="R188" s="78"/>
    </row>
    <row r="189" spans="5:18" s="79" customFormat="1" x14ac:dyDescent="0.8">
      <c r="E189" s="81"/>
      <c r="O189" s="78"/>
      <c r="P189" s="78"/>
      <c r="Q189" s="78"/>
      <c r="R189" s="78"/>
    </row>
    <row r="190" spans="5:18" s="79" customFormat="1" x14ac:dyDescent="0.8">
      <c r="E190" s="81"/>
      <c r="O190" s="78"/>
      <c r="P190" s="78"/>
      <c r="Q190" s="78"/>
      <c r="R190" s="78"/>
    </row>
    <row r="191" spans="5:18" s="79" customFormat="1" x14ac:dyDescent="0.8">
      <c r="E191" s="81"/>
      <c r="O191" s="78"/>
      <c r="P191" s="78"/>
      <c r="Q191" s="78"/>
      <c r="R191" s="78"/>
    </row>
    <row r="192" spans="5:18" s="79" customFormat="1" x14ac:dyDescent="0.8">
      <c r="E192" s="81"/>
      <c r="O192" s="78"/>
      <c r="P192" s="78"/>
      <c r="Q192" s="78"/>
      <c r="R192" s="78"/>
    </row>
    <row r="193" spans="5:18" s="79" customFormat="1" x14ac:dyDescent="0.8">
      <c r="E193" s="81"/>
      <c r="O193" s="78"/>
      <c r="P193" s="78"/>
      <c r="Q193" s="78"/>
      <c r="R193" s="78"/>
    </row>
    <row r="194" spans="5:18" s="79" customFormat="1" x14ac:dyDescent="0.8">
      <c r="E194" s="81"/>
      <c r="O194" s="78"/>
      <c r="P194" s="78"/>
      <c r="Q194" s="78"/>
      <c r="R194" s="78"/>
    </row>
    <row r="195" spans="5:18" s="79" customFormat="1" x14ac:dyDescent="0.8">
      <c r="E195" s="81"/>
      <c r="O195" s="78"/>
      <c r="P195" s="78"/>
      <c r="Q195" s="78"/>
      <c r="R195" s="78"/>
    </row>
    <row r="196" spans="5:18" s="79" customFormat="1" x14ac:dyDescent="0.8">
      <c r="E196" s="81"/>
      <c r="O196" s="78"/>
      <c r="P196" s="78"/>
      <c r="Q196" s="78"/>
      <c r="R196" s="78"/>
    </row>
    <row r="197" spans="5:18" s="79" customFormat="1" x14ac:dyDescent="0.8">
      <c r="E197" s="81"/>
      <c r="O197" s="78"/>
      <c r="P197" s="78"/>
      <c r="Q197" s="78"/>
      <c r="R197" s="78"/>
    </row>
    <row r="198" spans="5:18" s="79" customFormat="1" x14ac:dyDescent="0.8">
      <c r="E198" s="81"/>
      <c r="O198" s="78"/>
      <c r="P198" s="78"/>
      <c r="Q198" s="78"/>
      <c r="R198" s="78"/>
    </row>
    <row r="199" spans="5:18" s="79" customFormat="1" x14ac:dyDescent="0.8">
      <c r="E199" s="81"/>
      <c r="O199" s="78"/>
      <c r="P199" s="78"/>
      <c r="Q199" s="78"/>
      <c r="R199" s="78"/>
    </row>
    <row r="200" spans="5:18" s="79" customFormat="1" x14ac:dyDescent="0.8">
      <c r="E200" s="81"/>
      <c r="O200" s="78"/>
      <c r="P200" s="78"/>
      <c r="Q200" s="78"/>
      <c r="R200" s="78"/>
    </row>
    <row r="201" spans="5:18" s="79" customFormat="1" x14ac:dyDescent="0.8">
      <c r="E201" s="81"/>
      <c r="O201" s="78"/>
      <c r="P201" s="78"/>
      <c r="Q201" s="78"/>
      <c r="R201" s="78"/>
    </row>
    <row r="202" spans="5:18" s="79" customFormat="1" x14ac:dyDescent="0.8">
      <c r="E202" s="81"/>
      <c r="O202" s="78"/>
      <c r="P202" s="78"/>
      <c r="Q202" s="78"/>
      <c r="R202" s="78"/>
    </row>
    <row r="203" spans="5:18" s="79" customFormat="1" x14ac:dyDescent="0.8">
      <c r="E203" s="81"/>
      <c r="O203" s="78"/>
      <c r="P203" s="78"/>
      <c r="Q203" s="78"/>
      <c r="R203" s="78"/>
    </row>
    <row r="204" spans="5:18" s="79" customFormat="1" x14ac:dyDescent="0.8">
      <c r="E204" s="81"/>
      <c r="O204" s="78"/>
      <c r="P204" s="78"/>
      <c r="Q204" s="78"/>
      <c r="R204" s="78"/>
    </row>
    <row r="205" spans="5:18" s="79" customFormat="1" x14ac:dyDescent="0.8">
      <c r="E205" s="81"/>
      <c r="O205" s="78"/>
      <c r="P205" s="78"/>
      <c r="Q205" s="78"/>
      <c r="R205" s="78"/>
    </row>
    <row r="206" spans="5:18" s="79" customFormat="1" x14ac:dyDescent="0.8">
      <c r="E206" s="81"/>
      <c r="O206" s="78"/>
      <c r="P206" s="78"/>
      <c r="Q206" s="78"/>
      <c r="R206" s="78"/>
    </row>
    <row r="207" spans="5:18" s="79" customFormat="1" x14ac:dyDescent="0.8">
      <c r="E207" s="81"/>
      <c r="O207" s="78"/>
      <c r="P207" s="78"/>
      <c r="Q207" s="78"/>
      <c r="R207" s="78"/>
    </row>
    <row r="208" spans="5:18" s="79" customFormat="1" x14ac:dyDescent="0.8">
      <c r="E208" s="81"/>
      <c r="O208" s="78"/>
      <c r="P208" s="78"/>
      <c r="Q208" s="78"/>
      <c r="R208" s="78"/>
    </row>
    <row r="209" spans="5:18" s="79" customFormat="1" x14ac:dyDescent="0.8">
      <c r="E209" s="81"/>
      <c r="O209" s="78"/>
      <c r="P209" s="78"/>
      <c r="Q209" s="78"/>
      <c r="R209" s="78"/>
    </row>
    <row r="210" spans="5:18" s="79" customFormat="1" x14ac:dyDescent="0.8">
      <c r="E210" s="81"/>
      <c r="O210" s="78"/>
      <c r="P210" s="78"/>
      <c r="Q210" s="78"/>
      <c r="R210" s="78"/>
    </row>
    <row r="211" spans="5:18" s="79" customFormat="1" x14ac:dyDescent="0.8">
      <c r="E211" s="81"/>
      <c r="O211" s="78"/>
      <c r="P211" s="78"/>
      <c r="Q211" s="78"/>
      <c r="R211" s="78"/>
    </row>
    <row r="212" spans="5:18" s="79" customFormat="1" x14ac:dyDescent="0.8">
      <c r="E212" s="81"/>
      <c r="O212" s="78"/>
      <c r="P212" s="78"/>
      <c r="Q212" s="78"/>
      <c r="R212" s="78"/>
    </row>
    <row r="213" spans="5:18" s="79" customFormat="1" x14ac:dyDescent="0.8">
      <c r="E213" s="81"/>
      <c r="O213" s="78"/>
      <c r="P213" s="78"/>
      <c r="Q213" s="78"/>
      <c r="R213" s="78"/>
    </row>
    <row r="214" spans="5:18" s="79" customFormat="1" x14ac:dyDescent="0.8">
      <c r="E214" s="81"/>
      <c r="O214" s="78"/>
      <c r="P214" s="78"/>
      <c r="Q214" s="78"/>
      <c r="R214" s="78"/>
    </row>
    <row r="215" spans="5:18" s="79" customFormat="1" x14ac:dyDescent="0.8">
      <c r="E215" s="81"/>
      <c r="O215" s="78"/>
      <c r="P215" s="78"/>
      <c r="Q215" s="78"/>
      <c r="R215" s="78"/>
    </row>
    <row r="216" spans="5:18" s="79" customFormat="1" x14ac:dyDescent="0.8">
      <c r="E216" s="81"/>
      <c r="O216" s="78"/>
      <c r="P216" s="78"/>
      <c r="Q216" s="78"/>
      <c r="R216" s="78"/>
    </row>
    <row r="217" spans="5:18" s="79" customFormat="1" x14ac:dyDescent="0.8">
      <c r="E217" s="81"/>
      <c r="O217" s="78"/>
      <c r="P217" s="78"/>
      <c r="Q217" s="78"/>
      <c r="R217" s="78"/>
    </row>
    <row r="218" spans="5:18" s="79" customFormat="1" x14ac:dyDescent="0.8">
      <c r="E218" s="81"/>
      <c r="O218" s="78"/>
      <c r="P218" s="78"/>
      <c r="Q218" s="78"/>
      <c r="R218" s="78"/>
    </row>
    <row r="219" spans="5:18" s="79" customFormat="1" x14ac:dyDescent="0.8">
      <c r="E219" s="81"/>
      <c r="O219" s="78"/>
      <c r="P219" s="78"/>
      <c r="Q219" s="78"/>
      <c r="R219" s="78"/>
    </row>
    <row r="220" spans="5:18" s="79" customFormat="1" x14ac:dyDescent="0.8">
      <c r="E220" s="81"/>
      <c r="O220" s="78"/>
      <c r="P220" s="78"/>
      <c r="Q220" s="78"/>
      <c r="R220" s="78"/>
    </row>
    <row r="221" spans="5:18" s="79" customFormat="1" x14ac:dyDescent="0.8">
      <c r="E221" s="81"/>
      <c r="O221" s="78"/>
      <c r="P221" s="78"/>
      <c r="Q221" s="78"/>
      <c r="R221" s="78"/>
    </row>
    <row r="222" spans="5:18" s="79" customFormat="1" x14ac:dyDescent="0.8">
      <c r="E222" s="81"/>
      <c r="O222" s="78"/>
      <c r="P222" s="78"/>
      <c r="Q222" s="78"/>
      <c r="R222" s="78"/>
    </row>
    <row r="223" spans="5:18" s="79" customFormat="1" x14ac:dyDescent="0.8">
      <c r="E223" s="81"/>
      <c r="O223" s="78"/>
      <c r="P223" s="78"/>
      <c r="Q223" s="78"/>
      <c r="R223" s="78"/>
    </row>
    <row r="224" spans="5:18" s="79" customFormat="1" x14ac:dyDescent="0.8">
      <c r="E224" s="81"/>
      <c r="O224" s="78"/>
      <c r="P224" s="78"/>
      <c r="Q224" s="78"/>
      <c r="R224" s="78"/>
    </row>
    <row r="225" spans="5:18" s="79" customFormat="1" x14ac:dyDescent="0.8">
      <c r="E225" s="81"/>
      <c r="O225" s="78"/>
      <c r="P225" s="78"/>
      <c r="Q225" s="78"/>
      <c r="R225" s="78"/>
    </row>
    <row r="226" spans="5:18" s="79" customFormat="1" x14ac:dyDescent="0.8">
      <c r="E226" s="81"/>
      <c r="O226" s="78"/>
      <c r="P226" s="78"/>
      <c r="Q226" s="78"/>
      <c r="R226" s="78"/>
    </row>
    <row r="227" spans="5:18" s="79" customFormat="1" x14ac:dyDescent="0.8">
      <c r="E227" s="81"/>
      <c r="O227" s="78"/>
      <c r="P227" s="78"/>
      <c r="Q227" s="78"/>
      <c r="R227" s="78"/>
    </row>
    <row r="228" spans="5:18" s="79" customFormat="1" x14ac:dyDescent="0.8">
      <c r="O228" s="78"/>
      <c r="P228" s="78"/>
      <c r="Q228" s="78"/>
      <c r="R228" s="78"/>
    </row>
    <row r="229" spans="5:18" s="79" customFormat="1" x14ac:dyDescent="0.8">
      <c r="O229" s="78"/>
      <c r="P229" s="78"/>
      <c r="Q229" s="78"/>
      <c r="R229" s="78"/>
    </row>
    <row r="230" spans="5:18" s="79" customFormat="1" x14ac:dyDescent="0.8">
      <c r="O230" s="78"/>
      <c r="P230" s="78"/>
      <c r="Q230" s="78"/>
      <c r="R230" s="78"/>
    </row>
    <row r="231" spans="5:18" s="79" customFormat="1" x14ac:dyDescent="0.8">
      <c r="O231" s="78"/>
      <c r="P231" s="78"/>
      <c r="Q231" s="78"/>
      <c r="R231" s="78"/>
    </row>
    <row r="232" spans="5:18" s="79" customFormat="1" x14ac:dyDescent="0.8">
      <c r="O232" s="78"/>
      <c r="P232" s="78"/>
      <c r="Q232" s="78"/>
      <c r="R232" s="78"/>
    </row>
    <row r="233" spans="5:18" s="79" customFormat="1" x14ac:dyDescent="0.8">
      <c r="O233" s="78"/>
      <c r="P233" s="78"/>
      <c r="Q233" s="78"/>
      <c r="R233" s="78"/>
    </row>
    <row r="234" spans="5:18" s="79" customFormat="1" x14ac:dyDescent="0.8">
      <c r="O234" s="78"/>
      <c r="P234" s="78"/>
      <c r="Q234" s="78"/>
      <c r="R234" s="78"/>
    </row>
    <row r="235" spans="5:18" s="79" customFormat="1" x14ac:dyDescent="0.8">
      <c r="O235" s="78"/>
      <c r="P235" s="78"/>
      <c r="Q235" s="78"/>
      <c r="R235" s="78"/>
    </row>
    <row r="236" spans="5:18" s="79" customFormat="1" x14ac:dyDescent="0.8">
      <c r="O236" s="78"/>
      <c r="P236" s="78"/>
      <c r="Q236" s="78"/>
      <c r="R236" s="78"/>
    </row>
    <row r="237" spans="5:18" s="79" customFormat="1" x14ac:dyDescent="0.8">
      <c r="O237" s="78"/>
      <c r="P237" s="78"/>
      <c r="Q237" s="78"/>
      <c r="R237" s="78"/>
    </row>
    <row r="238" spans="5:18" s="79" customFormat="1" x14ac:dyDescent="0.8">
      <c r="O238" s="78"/>
      <c r="P238" s="78"/>
      <c r="Q238" s="78"/>
      <c r="R238" s="78"/>
    </row>
    <row r="239" spans="5:18" s="79" customFormat="1" x14ac:dyDescent="0.8">
      <c r="O239" s="78"/>
      <c r="P239" s="78"/>
      <c r="Q239" s="78"/>
      <c r="R239" s="78"/>
    </row>
    <row r="240" spans="5:18" s="79" customFormat="1" x14ac:dyDescent="0.8">
      <c r="O240" s="78"/>
      <c r="P240" s="78"/>
      <c r="Q240" s="78"/>
      <c r="R240" s="78"/>
    </row>
    <row r="241" spans="15:18" s="79" customFormat="1" x14ac:dyDescent="0.8">
      <c r="O241" s="78"/>
      <c r="P241" s="78"/>
      <c r="Q241" s="78"/>
      <c r="R241" s="78"/>
    </row>
    <row r="242" spans="15:18" s="79" customFormat="1" x14ac:dyDescent="0.8">
      <c r="O242" s="78"/>
      <c r="P242" s="78"/>
      <c r="Q242" s="78"/>
      <c r="R242" s="78"/>
    </row>
    <row r="243" spans="15:18" s="79" customFormat="1" x14ac:dyDescent="0.8">
      <c r="O243" s="78"/>
      <c r="P243" s="78"/>
      <c r="Q243" s="78"/>
      <c r="R243" s="78"/>
    </row>
    <row r="244" spans="15:18" s="79" customFormat="1" x14ac:dyDescent="0.8">
      <c r="O244" s="78"/>
      <c r="P244" s="78"/>
      <c r="Q244" s="78"/>
      <c r="R244" s="78"/>
    </row>
    <row r="245" spans="15:18" s="79" customFormat="1" x14ac:dyDescent="0.8">
      <c r="O245" s="78"/>
      <c r="P245" s="78"/>
      <c r="Q245" s="78"/>
      <c r="R245" s="78"/>
    </row>
    <row r="246" spans="15:18" s="79" customFormat="1" x14ac:dyDescent="0.8">
      <c r="O246" s="78"/>
      <c r="P246" s="78"/>
      <c r="Q246" s="78"/>
      <c r="R246" s="78"/>
    </row>
    <row r="247" spans="15:18" s="79" customFormat="1" x14ac:dyDescent="0.8">
      <c r="O247" s="78"/>
      <c r="P247" s="78"/>
      <c r="Q247" s="78"/>
      <c r="R247" s="78"/>
    </row>
    <row r="248" spans="15:18" s="79" customFormat="1" x14ac:dyDescent="0.8">
      <c r="O248" s="78"/>
      <c r="P248" s="78"/>
      <c r="Q248" s="78"/>
      <c r="R248" s="78"/>
    </row>
    <row r="249" spans="15:18" s="79" customFormat="1" x14ac:dyDescent="0.8">
      <c r="O249" s="78"/>
      <c r="P249" s="78"/>
      <c r="Q249" s="78"/>
      <c r="R249" s="78"/>
    </row>
    <row r="250" spans="15:18" s="79" customFormat="1" x14ac:dyDescent="0.8">
      <c r="O250" s="78"/>
      <c r="P250" s="78"/>
      <c r="Q250" s="78"/>
      <c r="R250" s="78"/>
    </row>
    <row r="251" spans="15:18" s="79" customFormat="1" x14ac:dyDescent="0.8">
      <c r="O251" s="78"/>
      <c r="P251" s="78"/>
      <c r="Q251" s="78"/>
      <c r="R251" s="78"/>
    </row>
    <row r="252" spans="15:18" s="79" customFormat="1" x14ac:dyDescent="0.8">
      <c r="O252" s="78"/>
      <c r="P252" s="78"/>
      <c r="Q252" s="78"/>
      <c r="R252" s="78"/>
    </row>
    <row r="253" spans="15:18" s="79" customFormat="1" x14ac:dyDescent="0.8">
      <c r="O253" s="78"/>
      <c r="P253" s="78"/>
      <c r="Q253" s="78"/>
      <c r="R253" s="78"/>
    </row>
    <row r="254" spans="15:18" s="79" customFormat="1" x14ac:dyDescent="0.8">
      <c r="O254" s="78"/>
      <c r="P254" s="78"/>
      <c r="Q254" s="78"/>
      <c r="R254" s="78"/>
    </row>
    <row r="255" spans="15:18" s="79" customFormat="1" x14ac:dyDescent="0.8">
      <c r="O255" s="78"/>
      <c r="P255" s="78"/>
      <c r="Q255" s="78"/>
      <c r="R255" s="78"/>
    </row>
    <row r="256" spans="15:18" s="79" customFormat="1" x14ac:dyDescent="0.8">
      <c r="O256" s="78"/>
      <c r="P256" s="78"/>
      <c r="Q256" s="78"/>
      <c r="R256" s="78"/>
    </row>
    <row r="257" spans="15:18" s="79" customFormat="1" x14ac:dyDescent="0.8">
      <c r="O257" s="78"/>
      <c r="P257" s="78"/>
      <c r="Q257" s="78"/>
      <c r="R257" s="78"/>
    </row>
    <row r="258" spans="15:18" s="79" customFormat="1" x14ac:dyDescent="0.8">
      <c r="O258" s="78"/>
      <c r="P258" s="78"/>
      <c r="Q258" s="78"/>
      <c r="R258" s="78"/>
    </row>
    <row r="259" spans="15:18" s="79" customFormat="1" x14ac:dyDescent="0.8">
      <c r="O259" s="78"/>
      <c r="P259" s="78"/>
      <c r="Q259" s="78"/>
      <c r="R259" s="78"/>
    </row>
    <row r="260" spans="15:18" s="79" customFormat="1" x14ac:dyDescent="0.8">
      <c r="O260" s="78"/>
      <c r="P260" s="78"/>
      <c r="Q260" s="78"/>
      <c r="R260" s="78"/>
    </row>
    <row r="261" spans="15:18" s="79" customFormat="1" x14ac:dyDescent="0.8">
      <c r="O261" s="78"/>
      <c r="P261" s="78"/>
      <c r="Q261" s="78"/>
      <c r="R261" s="78"/>
    </row>
    <row r="262" spans="15:18" s="79" customFormat="1" x14ac:dyDescent="0.8">
      <c r="O262" s="78"/>
      <c r="P262" s="78"/>
      <c r="Q262" s="78"/>
      <c r="R262" s="78"/>
    </row>
    <row r="263" spans="15:18" s="79" customFormat="1" x14ac:dyDescent="0.8">
      <c r="O263" s="78"/>
      <c r="P263" s="78"/>
      <c r="Q263" s="78"/>
      <c r="R263" s="78"/>
    </row>
    <row r="264" spans="15:18" s="79" customFormat="1" x14ac:dyDescent="0.8">
      <c r="O264" s="78"/>
      <c r="P264" s="78"/>
      <c r="Q264" s="78"/>
      <c r="R264" s="78"/>
    </row>
    <row r="265" spans="15:18" s="79" customFormat="1" x14ac:dyDescent="0.8">
      <c r="O265" s="78"/>
      <c r="P265" s="78"/>
      <c r="Q265" s="78"/>
      <c r="R265" s="78"/>
    </row>
    <row r="266" spans="15:18" s="79" customFormat="1" x14ac:dyDescent="0.8">
      <c r="O266" s="78"/>
      <c r="P266" s="78"/>
      <c r="Q266" s="78"/>
      <c r="R266" s="78"/>
    </row>
    <row r="267" spans="15:18" s="79" customFormat="1" x14ac:dyDescent="0.8">
      <c r="O267" s="78"/>
      <c r="P267" s="78"/>
      <c r="Q267" s="78"/>
      <c r="R267" s="78"/>
    </row>
    <row r="268" spans="15:18" s="79" customFormat="1" x14ac:dyDescent="0.8">
      <c r="O268" s="78"/>
      <c r="P268" s="78"/>
      <c r="Q268" s="78"/>
      <c r="R268" s="78"/>
    </row>
    <row r="269" spans="15:18" s="79" customFormat="1" x14ac:dyDescent="0.8">
      <c r="O269" s="78"/>
      <c r="P269" s="78"/>
      <c r="Q269" s="78"/>
      <c r="R269" s="78"/>
    </row>
    <row r="270" spans="15:18" s="79" customFormat="1" x14ac:dyDescent="0.8">
      <c r="O270" s="78"/>
      <c r="P270" s="78"/>
      <c r="Q270" s="78"/>
      <c r="R270" s="78"/>
    </row>
    <row r="271" spans="15:18" s="79" customFormat="1" x14ac:dyDescent="0.8">
      <c r="O271" s="78"/>
      <c r="P271" s="78"/>
      <c r="Q271" s="78"/>
      <c r="R271" s="78"/>
    </row>
    <row r="272" spans="15:18" s="79" customFormat="1" x14ac:dyDescent="0.8">
      <c r="O272" s="78"/>
      <c r="P272" s="78"/>
      <c r="Q272" s="78"/>
      <c r="R272" s="78"/>
    </row>
    <row r="273" spans="15:18" s="79" customFormat="1" x14ac:dyDescent="0.8">
      <c r="O273" s="78"/>
      <c r="P273" s="78"/>
      <c r="Q273" s="78"/>
      <c r="R273" s="78"/>
    </row>
    <row r="274" spans="15:18" s="79" customFormat="1" x14ac:dyDescent="0.8">
      <c r="O274" s="78"/>
      <c r="P274" s="78"/>
      <c r="Q274" s="78"/>
      <c r="R274" s="78"/>
    </row>
    <row r="275" spans="15:18" s="79" customFormat="1" x14ac:dyDescent="0.8">
      <c r="O275" s="78"/>
      <c r="P275" s="78"/>
      <c r="Q275" s="78"/>
      <c r="R275" s="78"/>
    </row>
    <row r="276" spans="15:18" s="79" customFormat="1" x14ac:dyDescent="0.8">
      <c r="O276" s="78"/>
      <c r="P276" s="78"/>
      <c r="Q276" s="78"/>
      <c r="R276" s="78"/>
    </row>
    <row r="277" spans="15:18" s="79" customFormat="1" x14ac:dyDescent="0.8">
      <c r="O277" s="78"/>
      <c r="P277" s="78"/>
      <c r="Q277" s="78"/>
      <c r="R277" s="78"/>
    </row>
    <row r="278" spans="15:18" s="79" customFormat="1" x14ac:dyDescent="0.8">
      <c r="O278" s="78"/>
      <c r="P278" s="78"/>
      <c r="Q278" s="78"/>
      <c r="R278" s="78"/>
    </row>
    <row r="279" spans="15:18" s="79" customFormat="1" x14ac:dyDescent="0.8">
      <c r="O279" s="78"/>
      <c r="P279" s="78"/>
      <c r="Q279" s="78"/>
      <c r="R279" s="78"/>
    </row>
    <row r="280" spans="15:18" s="79" customFormat="1" x14ac:dyDescent="0.8">
      <c r="O280" s="78"/>
      <c r="P280" s="78"/>
      <c r="Q280" s="78"/>
      <c r="R280" s="78"/>
    </row>
    <row r="281" spans="15:18" s="79" customFormat="1" x14ac:dyDescent="0.8">
      <c r="O281" s="78"/>
      <c r="P281" s="78"/>
      <c r="Q281" s="78"/>
      <c r="R281" s="78"/>
    </row>
    <row r="282" spans="15:18" s="79" customFormat="1" x14ac:dyDescent="0.8">
      <c r="O282" s="78"/>
      <c r="P282" s="78"/>
      <c r="Q282" s="78"/>
      <c r="R282" s="78"/>
    </row>
    <row r="283" spans="15:18" s="79" customFormat="1" x14ac:dyDescent="0.8">
      <c r="O283" s="78"/>
      <c r="P283" s="78"/>
      <c r="Q283" s="78"/>
      <c r="R283" s="78"/>
    </row>
    <row r="284" spans="15:18" s="79" customFormat="1" x14ac:dyDescent="0.8">
      <c r="O284" s="78"/>
      <c r="P284" s="78"/>
      <c r="Q284" s="78"/>
      <c r="R284" s="78"/>
    </row>
    <row r="285" spans="15:18" s="79" customFormat="1" x14ac:dyDescent="0.8">
      <c r="O285" s="78"/>
      <c r="P285" s="78"/>
      <c r="Q285" s="78"/>
      <c r="R285" s="78"/>
    </row>
    <row r="286" spans="15:18" s="79" customFormat="1" x14ac:dyDescent="0.8">
      <c r="O286" s="78"/>
      <c r="P286" s="78"/>
      <c r="Q286" s="78"/>
      <c r="R286" s="78"/>
    </row>
    <row r="287" spans="15:18" s="79" customFormat="1" x14ac:dyDescent="0.8">
      <c r="O287" s="78"/>
      <c r="P287" s="78"/>
      <c r="Q287" s="78"/>
      <c r="R287" s="78"/>
    </row>
    <row r="288" spans="15:18" s="79" customFormat="1" x14ac:dyDescent="0.8">
      <c r="O288" s="78"/>
      <c r="P288" s="78"/>
      <c r="Q288" s="78"/>
      <c r="R288" s="78"/>
    </row>
    <row r="289" spans="1:18" s="79" customFormat="1" x14ac:dyDescent="0.8">
      <c r="O289" s="78"/>
      <c r="P289" s="78"/>
      <c r="Q289" s="78"/>
      <c r="R289" s="78"/>
    </row>
    <row r="290" spans="1:18" s="79" customFormat="1" x14ac:dyDescent="0.8">
      <c r="O290" s="78"/>
      <c r="P290" s="78"/>
      <c r="Q290" s="78"/>
      <c r="R290" s="78"/>
    </row>
    <row r="291" spans="1:18" s="79" customFormat="1" x14ac:dyDescent="0.8">
      <c r="O291" s="78"/>
      <c r="P291" s="78"/>
      <c r="Q291" s="78"/>
      <c r="R291" s="78"/>
    </row>
    <row r="292" spans="1:18" s="79" customFormat="1" x14ac:dyDescent="0.8">
      <c r="O292" s="78"/>
      <c r="P292" s="78"/>
      <c r="Q292" s="78"/>
      <c r="R292" s="78"/>
    </row>
    <row r="293" spans="1:18" s="79" customFormat="1" x14ac:dyDescent="0.8">
      <c r="O293" s="78"/>
      <c r="P293" s="78"/>
      <c r="Q293" s="78"/>
      <c r="R293" s="78"/>
    </row>
    <row r="294" spans="1:18" s="79" customFormat="1" x14ac:dyDescent="0.8">
      <c r="O294" s="78"/>
      <c r="P294" s="78"/>
      <c r="Q294" s="78"/>
      <c r="R294" s="78"/>
    </row>
    <row r="295" spans="1:18" s="79" customFormat="1" x14ac:dyDescent="0.8">
      <c r="O295" s="78"/>
      <c r="P295" s="78"/>
      <c r="Q295" s="78"/>
      <c r="R295" s="78"/>
    </row>
    <row r="296" spans="1:18" s="79" customFormat="1" x14ac:dyDescent="0.8">
      <c r="O296" s="78"/>
      <c r="P296" s="78"/>
      <c r="Q296" s="78"/>
      <c r="R296" s="78"/>
    </row>
    <row r="297" spans="1:18" s="79" customFormat="1" x14ac:dyDescent="0.8">
      <c r="O297" s="78"/>
      <c r="P297" s="78"/>
      <c r="Q297" s="78"/>
      <c r="R297" s="78"/>
    </row>
    <row r="298" spans="1:18" s="79" customFormat="1" x14ac:dyDescent="0.8">
      <c r="O298" s="78"/>
      <c r="P298" s="78"/>
      <c r="Q298" s="78"/>
      <c r="R298" s="78"/>
    </row>
    <row r="299" spans="1:18" s="79" customFormat="1" x14ac:dyDescent="0.8">
      <c r="O299" s="78"/>
      <c r="P299" s="78"/>
      <c r="Q299" s="78"/>
      <c r="R299" s="78"/>
    </row>
    <row r="300" spans="1:18" s="79" customFormat="1" x14ac:dyDescent="0.8">
      <c r="O300" s="78"/>
      <c r="P300" s="78"/>
      <c r="Q300" s="78"/>
      <c r="R300" s="78"/>
    </row>
    <row r="301" spans="1:18" s="79" customFormat="1" x14ac:dyDescent="0.8">
      <c r="O301" s="78"/>
      <c r="P301" s="78"/>
      <c r="Q301" s="78"/>
      <c r="R301" s="78"/>
    </row>
    <row r="302" spans="1:18" s="79" customFormat="1" x14ac:dyDescent="0.8">
      <c r="O302" s="78"/>
      <c r="P302" s="78"/>
      <c r="Q302" s="78"/>
      <c r="R302" s="78"/>
    </row>
    <row r="303" spans="1:18" x14ac:dyDescent="0.8">
      <c r="A303" s="74"/>
      <c r="B303" s="74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</row>
    <row r="304" spans="1:18" x14ac:dyDescent="0.8">
      <c r="A304" s="74"/>
      <c r="B304" s="74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</row>
    <row r="305" spans="1:13" x14ac:dyDescent="0.8">
      <c r="A305" s="74"/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</row>
    <row r="306" spans="1:13" x14ac:dyDescent="0.8">
      <c r="A306" s="74"/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</row>
    <row r="307" spans="1:13" x14ac:dyDescent="0.8">
      <c r="A307" s="74"/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</row>
    <row r="308" spans="1:13" x14ac:dyDescent="0.8">
      <c r="A308" s="74"/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</row>
    <row r="309" spans="1:13" x14ac:dyDescent="0.8">
      <c r="A309" s="74"/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</row>
    <row r="310" spans="1:13" x14ac:dyDescent="0.8">
      <c r="A310" s="74"/>
      <c r="B310" s="74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</row>
    <row r="311" spans="1:13" x14ac:dyDescent="0.8">
      <c r="A311" s="74"/>
      <c r="B311" s="74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</row>
    <row r="312" spans="1:13" x14ac:dyDescent="0.8">
      <c r="A312" s="74"/>
      <c r="B312" s="74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</row>
    <row r="313" spans="1:13" x14ac:dyDescent="0.8">
      <c r="A313" s="74"/>
      <c r="B313" s="74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</row>
    <row r="314" spans="1:13" x14ac:dyDescent="0.8">
      <c r="A314" s="74"/>
      <c r="B314" s="74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</row>
    <row r="315" spans="1:13" x14ac:dyDescent="0.8">
      <c r="A315" s="74"/>
      <c r="B315" s="74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</row>
    <row r="316" spans="1:13" x14ac:dyDescent="0.8">
      <c r="A316" s="74"/>
      <c r="B316" s="74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</row>
    <row r="317" spans="1:13" x14ac:dyDescent="0.8">
      <c r="A317" s="74"/>
      <c r="B317" s="74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</row>
    <row r="318" spans="1:13" x14ac:dyDescent="0.8">
      <c r="A318" s="74"/>
      <c r="B318" s="74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</row>
    <row r="319" spans="1:13" x14ac:dyDescent="0.8">
      <c r="A319" s="74"/>
      <c r="B319" s="74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</row>
    <row r="320" spans="1:13" x14ac:dyDescent="0.8">
      <c r="A320" s="74"/>
      <c r="B320" s="74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</row>
    <row r="321" spans="1:13" x14ac:dyDescent="0.8">
      <c r="A321" s="74"/>
      <c r="B321" s="74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</row>
    <row r="322" spans="1:13" x14ac:dyDescent="0.8">
      <c r="A322" s="74"/>
      <c r="B322" s="74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</row>
    <row r="323" spans="1:13" x14ac:dyDescent="0.8">
      <c r="A323" s="74"/>
      <c r="B323" s="74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</row>
    <row r="324" spans="1:13" x14ac:dyDescent="0.8">
      <c r="A324" s="74"/>
      <c r="B324" s="74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</row>
    <row r="325" spans="1:13" x14ac:dyDescent="0.8">
      <c r="A325" s="74"/>
      <c r="B325" s="74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</row>
    <row r="326" spans="1:13" x14ac:dyDescent="0.8">
      <c r="A326" s="74"/>
      <c r="B326" s="74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</row>
    <row r="327" spans="1:13" x14ac:dyDescent="0.8">
      <c r="A327" s="74"/>
      <c r="B327" s="74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</row>
    <row r="328" spans="1:13" x14ac:dyDescent="0.8">
      <c r="A328" s="74"/>
      <c r="B328" s="74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</row>
    <row r="329" spans="1:13" x14ac:dyDescent="0.8">
      <c r="A329" s="74"/>
      <c r="B329" s="74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</row>
    <row r="330" spans="1:13" x14ac:dyDescent="0.8">
      <c r="A330" s="74"/>
      <c r="B330" s="74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</row>
    <row r="331" spans="1:13" x14ac:dyDescent="0.8">
      <c r="A331" s="74"/>
      <c r="B331" s="74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</row>
    <row r="332" spans="1:13" x14ac:dyDescent="0.8">
      <c r="A332" s="74"/>
      <c r="B332" s="74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</row>
    <row r="333" spans="1:13" x14ac:dyDescent="0.8">
      <c r="A333" s="74"/>
      <c r="B333" s="74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</row>
    <row r="334" spans="1:13" x14ac:dyDescent="0.8">
      <c r="A334" s="74"/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</row>
  </sheetData>
  <sheetProtection sheet="1" selectLockedCells="1"/>
  <mergeCells count="12">
    <mergeCell ref="H8:J8"/>
    <mergeCell ref="B2:M2"/>
    <mergeCell ref="D6:F6"/>
    <mergeCell ref="L6:M6"/>
    <mergeCell ref="D8:F8"/>
    <mergeCell ref="J6:K6"/>
    <mergeCell ref="J5:L5"/>
    <mergeCell ref="B7:C7"/>
    <mergeCell ref="B5:C5"/>
    <mergeCell ref="B6:C6"/>
    <mergeCell ref="B8:C8"/>
    <mergeCell ref="D7:F7"/>
  </mergeCells>
  <phoneticPr fontId="8" type="noConversion"/>
  <dataValidations count="4">
    <dataValidation type="list" allowBlank="1" showInputMessage="1" showErrorMessage="1" sqref="D5" xr:uid="{00000000-0002-0000-0100-000000000000}">
      <formula1>$B$12:$B$15</formula1>
    </dataValidation>
    <dataValidation type="list" allowBlank="1" showInputMessage="1" showErrorMessage="1" sqref="H6" xr:uid="{00000000-0002-0000-0100-000001000000}">
      <formula1>$D$12:$D$15</formula1>
    </dataValidation>
    <dataValidation type="list" allowBlank="1" showInputMessage="1" showErrorMessage="1" sqref="L6" xr:uid="{00000000-0002-0000-0100-000002000000}">
      <formula1>$F$12:$F$15</formula1>
    </dataValidation>
    <dataValidation type="list" allowBlank="1" showInputMessage="1" showErrorMessage="1" sqref="D7:F7" xr:uid="{6FF5651B-FAE2-44F0-A2EA-DAB4AFDEA1F1}">
      <formula1>$H$12:$H$18</formula1>
    </dataValidation>
  </dataValidations>
  <pageMargins left="0.47" right="0.41" top="0.75" bottom="0.75" header="0.3" footer="0.3"/>
  <pageSetup scale="5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0.39997558519241921"/>
    <pageSetUpPr fitToPage="1"/>
  </sheetPr>
  <dimension ref="B1:AF40"/>
  <sheetViews>
    <sheetView zoomScaleNormal="100" workbookViewId="0">
      <pane ySplit="6" topLeftCell="A7" activePane="bottomLeft" state="frozen"/>
      <selection pane="bottomLeft" activeCell="C9" sqref="C9:E9"/>
    </sheetView>
  </sheetViews>
  <sheetFormatPr defaultColWidth="9" defaultRowHeight="24" x14ac:dyDescent="0.8"/>
  <cols>
    <col min="1" max="1" width="3.4140625" style="48" customWidth="1"/>
    <col min="2" max="2" width="3.9140625" style="48" customWidth="1"/>
    <col min="3" max="4" width="9" style="48"/>
    <col min="5" max="5" width="27.08203125" style="48" customWidth="1"/>
    <col min="6" max="6" width="8.1640625" style="48" bestFit="1" customWidth="1"/>
    <col min="7" max="7" width="10.9140625" style="48" bestFit="1" customWidth="1"/>
    <col min="8" max="8" width="9.25" style="48" bestFit="1" customWidth="1"/>
    <col min="9" max="9" width="7.4140625" style="48" bestFit="1" customWidth="1"/>
    <col min="10" max="11" width="9" style="48"/>
    <col min="12" max="12" width="9.08203125" style="48" customWidth="1"/>
    <col min="13" max="13" width="10.4140625" style="48" bestFit="1" customWidth="1"/>
    <col min="14" max="14" width="9.83203125" style="48" customWidth="1"/>
    <col min="15" max="32" width="0" style="50" hidden="1" customWidth="1"/>
    <col min="33" max="34" width="0" style="48" hidden="1" customWidth="1"/>
    <col min="35" max="16384" width="9" style="48"/>
  </cols>
  <sheetData>
    <row r="1" spans="2:32" ht="26.25" customHeight="1" x14ac:dyDescent="1">
      <c r="B1" s="308" t="s">
        <v>50</v>
      </c>
      <c r="C1" s="308"/>
      <c r="D1" s="308"/>
      <c r="E1" s="308"/>
      <c r="F1" s="308"/>
      <c r="G1" s="308"/>
      <c r="H1" s="308"/>
      <c r="I1" s="308"/>
      <c r="J1" s="308"/>
      <c r="K1" s="86">
        <f>DataSet!H5</f>
        <v>2569</v>
      </c>
      <c r="M1" s="87"/>
      <c r="N1" s="87"/>
    </row>
    <row r="2" spans="2:32" ht="26.25" customHeight="1" x14ac:dyDescent="0.8">
      <c r="B2" s="307" t="s">
        <v>38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</row>
    <row r="3" spans="2:32" ht="9.75" customHeight="1" thickBot="1" x14ac:dyDescent="0.85"/>
    <row r="4" spans="2:32" ht="30.5" thickBot="1" x14ac:dyDescent="1.05">
      <c r="B4" s="315" t="s">
        <v>141</v>
      </c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7"/>
    </row>
    <row r="5" spans="2:32" ht="7.5" customHeight="1" thickBot="1" x14ac:dyDescent="1.05">
      <c r="B5" s="309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1"/>
    </row>
    <row r="6" spans="2:32" s="89" customFormat="1" ht="27.5" thickBot="1" x14ac:dyDescent="0.95">
      <c r="B6" s="366" t="s">
        <v>415</v>
      </c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</row>
    <row r="7" spans="2:32" s="89" customFormat="1" ht="30" x14ac:dyDescent="1">
      <c r="B7" s="264" t="s">
        <v>417</v>
      </c>
      <c r="C7" s="244"/>
      <c r="D7" s="244"/>
      <c r="E7" s="244"/>
      <c r="F7" s="244"/>
      <c r="G7" s="244"/>
      <c r="H7" s="244"/>
      <c r="I7" s="244"/>
      <c r="J7" s="363" t="s">
        <v>56</v>
      </c>
      <c r="K7" s="363"/>
      <c r="L7" s="235">
        <f>IF(C10="","",IF(SUM(N10:N15)&gt;36,36,SUM(N10:N15)))</f>
        <v>36</v>
      </c>
      <c r="M7" s="364" t="s">
        <v>218</v>
      </c>
      <c r="N7" s="365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</row>
    <row r="8" spans="2:32" s="95" customFormat="1" x14ac:dyDescent="0.8">
      <c r="B8" s="249" t="s">
        <v>102</v>
      </c>
      <c r="C8" s="312" t="s">
        <v>40</v>
      </c>
      <c r="D8" s="313"/>
      <c r="E8" s="314"/>
      <c r="F8" s="91" t="s">
        <v>41</v>
      </c>
      <c r="G8" s="91" t="s">
        <v>320</v>
      </c>
      <c r="H8" s="91" t="s">
        <v>42</v>
      </c>
      <c r="I8" s="91" t="s">
        <v>43</v>
      </c>
      <c r="J8" s="312" t="s">
        <v>103</v>
      </c>
      <c r="K8" s="313"/>
      <c r="L8" s="314"/>
      <c r="M8" s="92" t="s">
        <v>388</v>
      </c>
      <c r="N8" s="93" t="s">
        <v>49</v>
      </c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</row>
    <row r="9" spans="2:32" ht="24" customHeight="1" x14ac:dyDescent="0.8">
      <c r="B9" s="96">
        <f>IF(C9="","",ROW()-7)</f>
        <v>2</v>
      </c>
      <c r="C9" s="327" t="s">
        <v>395</v>
      </c>
      <c r="D9" s="328"/>
      <c r="E9" s="329"/>
      <c r="F9" s="99">
        <v>1</v>
      </c>
      <c r="G9" s="99">
        <v>15</v>
      </c>
      <c r="H9" s="99">
        <v>8</v>
      </c>
      <c r="I9" s="99">
        <v>9</v>
      </c>
      <c r="J9" s="318" t="s">
        <v>394</v>
      </c>
      <c r="K9" s="319"/>
      <c r="L9" s="320"/>
      <c r="M9" s="242" t="s">
        <v>391</v>
      </c>
      <c r="N9" s="101">
        <f>IF(C9=0, " ", IF(M9= DataSet!$F$22,I9, IF(H9&lt;10, (I9*0.25)*G9/15, IF(H9&lt;=50, (I9*G9)/15, IF(H9&gt;50, (I9*1.25)*G9/15, 0)))))</f>
        <v>9</v>
      </c>
    </row>
    <row r="10" spans="2:32" x14ac:dyDescent="0.8">
      <c r="B10" s="96">
        <f t="shared" ref="B10:B14" si="0">IF(C10="","",ROW()-7)</f>
        <v>3</v>
      </c>
      <c r="C10" s="327" t="s">
        <v>396</v>
      </c>
      <c r="D10" s="328"/>
      <c r="E10" s="329"/>
      <c r="F10" s="102">
        <v>1</v>
      </c>
      <c r="G10" s="102">
        <v>15</v>
      </c>
      <c r="H10" s="102">
        <v>8</v>
      </c>
      <c r="I10" s="102">
        <v>9</v>
      </c>
      <c r="J10" s="321"/>
      <c r="K10" s="322"/>
      <c r="L10" s="323"/>
      <c r="M10" s="242" t="s">
        <v>392</v>
      </c>
      <c r="N10" s="101">
        <f>IF(C10=0, " ", IF(M10= DataSet!$F$22,I10, IF(H10&lt;10, (I10*0.25)*G10/15, IF(H10&lt;=50, (I10*G10)/15, IF(H10&gt;50, (I10*1.25)*G10/15, 0)))))</f>
        <v>2.25</v>
      </c>
    </row>
    <row r="11" spans="2:32" x14ac:dyDescent="0.8">
      <c r="B11" s="96">
        <f t="shared" si="0"/>
        <v>4</v>
      </c>
      <c r="C11" s="327" t="s">
        <v>397</v>
      </c>
      <c r="D11" s="328"/>
      <c r="E11" s="329"/>
      <c r="F11" s="102">
        <v>1</v>
      </c>
      <c r="G11" s="102">
        <v>15</v>
      </c>
      <c r="H11" s="102">
        <v>61</v>
      </c>
      <c r="I11" s="102">
        <v>9</v>
      </c>
      <c r="J11" s="321"/>
      <c r="K11" s="322"/>
      <c r="L11" s="323"/>
      <c r="M11" s="242" t="s">
        <v>391</v>
      </c>
      <c r="N11" s="101">
        <f>IF(C11=0, " ", IF(M11= DataSet!$F$22,I11, IF(H11&lt;10, (I11*0.25)*G11/15, IF(H11&lt;=50, (I11*G11)/15, IF(H11&gt;50, (I11*1.25)*G11/15, 0)))))</f>
        <v>9</v>
      </c>
    </row>
    <row r="12" spans="2:32" x14ac:dyDescent="0.8">
      <c r="B12" s="96">
        <f t="shared" si="0"/>
        <v>5</v>
      </c>
      <c r="C12" s="327" t="s">
        <v>400</v>
      </c>
      <c r="D12" s="328"/>
      <c r="E12" s="329"/>
      <c r="F12" s="102">
        <v>1</v>
      </c>
      <c r="G12" s="102">
        <v>15</v>
      </c>
      <c r="H12" s="102">
        <v>35</v>
      </c>
      <c r="I12" s="102">
        <v>9</v>
      </c>
      <c r="J12" s="321"/>
      <c r="K12" s="322"/>
      <c r="L12" s="323"/>
      <c r="M12" s="242" t="s">
        <v>391</v>
      </c>
      <c r="N12" s="101">
        <f>IF(C12=0, " ", IF(M12= DataSet!$F$22,I12, IF(H12&lt;10, (I12*0.25)*G12/15, IF(H12&lt;=50, (I12*G12)/15, IF(H12&gt;50, (I12*1.25)*G12/15, 0)))))</f>
        <v>9</v>
      </c>
    </row>
    <row r="13" spans="2:32" x14ac:dyDescent="0.8">
      <c r="B13" s="96">
        <f t="shared" si="0"/>
        <v>6</v>
      </c>
      <c r="C13" s="327" t="s">
        <v>401</v>
      </c>
      <c r="D13" s="328"/>
      <c r="E13" s="329"/>
      <c r="F13" s="102">
        <v>1</v>
      </c>
      <c r="G13" s="102">
        <v>15</v>
      </c>
      <c r="H13" s="102">
        <v>26</v>
      </c>
      <c r="I13" s="102">
        <v>9</v>
      </c>
      <c r="J13" s="321"/>
      <c r="K13" s="322"/>
      <c r="L13" s="323"/>
      <c r="M13" s="242" t="s">
        <v>391</v>
      </c>
      <c r="N13" s="101">
        <f>IF(C13=0, " ", IF(M13= DataSet!$F$22,I13, IF(H13&lt;10, (I13*0.25)*G13/15, IF(H13&lt;=50, (I13*G13)/15, IF(H13&gt;50, (I13*1.25)*G13/15, 0)))))</f>
        <v>9</v>
      </c>
    </row>
    <row r="14" spans="2:32" ht="24.5" thickBot="1" x14ac:dyDescent="0.85">
      <c r="B14" s="226">
        <f t="shared" si="0"/>
        <v>7</v>
      </c>
      <c r="C14" s="331" t="s">
        <v>402</v>
      </c>
      <c r="D14" s="332"/>
      <c r="E14" s="333"/>
      <c r="F14" s="103">
        <v>1</v>
      </c>
      <c r="G14" s="103">
        <v>15</v>
      </c>
      <c r="H14" s="103">
        <v>26</v>
      </c>
      <c r="I14" s="103">
        <v>9</v>
      </c>
      <c r="J14" s="324"/>
      <c r="K14" s="325"/>
      <c r="L14" s="326"/>
      <c r="M14" s="250" t="s">
        <v>391</v>
      </c>
      <c r="N14" s="115">
        <f>IF(C14=0, " ", IF(M14= DataSet!$F$22,I14, IF(H14&lt;10, (I14*0.25)*G14/15, IF(H14&lt;=50, (I14*G14)/15, IF(H14&gt;50, (I14*1.25)*G14/15, 0)))))</f>
        <v>9</v>
      </c>
    </row>
    <row r="15" spans="2:32" ht="24.5" thickBot="1" x14ac:dyDescent="0.85"/>
    <row r="16" spans="2:32" s="74" customFormat="1" ht="30.5" thickBot="1" x14ac:dyDescent="1.05">
      <c r="B16" s="372" t="s">
        <v>416</v>
      </c>
      <c r="C16" s="369"/>
      <c r="D16" s="369"/>
      <c r="E16" s="369"/>
      <c r="F16" s="369"/>
      <c r="G16" s="369"/>
      <c r="H16" s="369"/>
      <c r="I16" s="369"/>
      <c r="J16" s="371" t="s">
        <v>56</v>
      </c>
      <c r="K16" s="371"/>
      <c r="L16" s="267">
        <f>SUM(L17,L25,L33)</f>
        <v>0</v>
      </c>
      <c r="M16" s="369" t="s">
        <v>218</v>
      </c>
      <c r="N16" s="370"/>
    </row>
    <row r="17" spans="2:14" s="74" customFormat="1" x14ac:dyDescent="0.8">
      <c r="B17" s="268" t="s">
        <v>418</v>
      </c>
      <c r="C17" s="269"/>
      <c r="D17" s="269"/>
      <c r="E17" s="269"/>
      <c r="F17" s="269"/>
      <c r="G17" s="269"/>
      <c r="H17" s="269"/>
      <c r="I17" s="269"/>
      <c r="J17" s="347" t="s">
        <v>57</v>
      </c>
      <c r="K17" s="347"/>
      <c r="L17" s="266">
        <f>SUM(N19:N23)</f>
        <v>0</v>
      </c>
      <c r="M17" s="345" t="s">
        <v>218</v>
      </c>
      <c r="N17" s="346"/>
    </row>
    <row r="18" spans="2:14" s="74" customFormat="1" x14ac:dyDescent="0.8">
      <c r="B18" s="90" t="s">
        <v>102</v>
      </c>
      <c r="C18" s="312" t="s">
        <v>72</v>
      </c>
      <c r="D18" s="313"/>
      <c r="E18" s="314"/>
      <c r="F18" s="92" t="s">
        <v>78</v>
      </c>
      <c r="G18" s="92" t="s">
        <v>60</v>
      </c>
      <c r="H18" s="348" t="s">
        <v>52</v>
      </c>
      <c r="I18" s="349"/>
      <c r="J18" s="349"/>
      <c r="K18" s="349"/>
      <c r="L18" s="350"/>
      <c r="M18" s="109" t="s">
        <v>62</v>
      </c>
      <c r="N18" s="110" t="s">
        <v>49</v>
      </c>
    </row>
    <row r="19" spans="2:14" s="74" customFormat="1" x14ac:dyDescent="0.8">
      <c r="B19" s="111" t="str">
        <f>IF(C19="","",ROW()-18)</f>
        <v/>
      </c>
      <c r="C19" s="327"/>
      <c r="D19" s="328"/>
      <c r="E19" s="328"/>
      <c r="F19" s="99"/>
      <c r="G19" s="99"/>
      <c r="H19" s="376" t="s">
        <v>255</v>
      </c>
      <c r="I19" s="377"/>
      <c r="J19" s="377"/>
      <c r="K19" s="377"/>
      <c r="L19" s="378"/>
      <c r="M19" s="112"/>
      <c r="N19" s="101" t="str">
        <f>IF(C19=0," ",_xlfn.IFS(M19=DataSet!$F$25,0,'PO2'!#REF!='PO2'!#REF!,((6/G19)*F19),('PO2'!#REF!/'PO2'!#REF!)&lt;"0.5",2))</f>
        <v xml:space="preserve"> </v>
      </c>
    </row>
    <row r="20" spans="2:14" s="74" customFormat="1" x14ac:dyDescent="0.8">
      <c r="B20" s="111" t="str">
        <f t="shared" ref="B20:B23" si="1">IF(C20="","",ROW()-18)</f>
        <v/>
      </c>
      <c r="C20" s="327"/>
      <c r="D20" s="328"/>
      <c r="E20" s="328"/>
      <c r="F20" s="99"/>
      <c r="G20" s="99"/>
      <c r="H20" s="260" t="s">
        <v>55</v>
      </c>
      <c r="I20" s="261"/>
      <c r="J20" s="261"/>
      <c r="K20" s="256"/>
      <c r="L20" s="257"/>
      <c r="M20" s="112"/>
      <c r="N20" s="101" t="str">
        <f>IF(C20=0," ",_xlfn.IFS(M20=DataSet!$F$25,0,'PO2'!#REF!='PO2'!#REF!,((6/G20)*F20),('PO2'!#REF!/'PO2'!#REF!)&lt;"0.5",2))</f>
        <v xml:space="preserve"> </v>
      </c>
    </row>
    <row r="21" spans="2:14" s="74" customFormat="1" x14ac:dyDescent="0.8">
      <c r="B21" s="111" t="str">
        <f t="shared" si="1"/>
        <v/>
      </c>
      <c r="C21" s="327"/>
      <c r="D21" s="328"/>
      <c r="E21" s="328"/>
      <c r="F21" s="99"/>
      <c r="G21" s="99"/>
      <c r="H21" s="255" t="s">
        <v>104</v>
      </c>
      <c r="I21" s="256"/>
      <c r="J21" s="256"/>
      <c r="K21" s="256"/>
      <c r="L21" s="257"/>
      <c r="M21" s="112"/>
      <c r="N21" s="101" t="str">
        <f>IF(C21=0," ",_xlfn.IFS(M21=DataSet!$F$25,0,'PO2'!#REF!='PO2'!#REF!,((6/G21)*F21),('PO2'!#REF!/'PO2'!#REF!)&lt;"0.5",2))</f>
        <v xml:space="preserve"> </v>
      </c>
    </row>
    <row r="22" spans="2:14" s="50" customFormat="1" ht="24" customHeight="1" x14ac:dyDescent="0.8">
      <c r="B22" s="111" t="str">
        <f t="shared" si="1"/>
        <v/>
      </c>
      <c r="C22" s="327"/>
      <c r="D22" s="328"/>
      <c r="E22" s="328"/>
      <c r="F22" s="99"/>
      <c r="G22" s="99"/>
      <c r="H22" s="373" t="s">
        <v>241</v>
      </c>
      <c r="I22" s="374"/>
      <c r="J22" s="374"/>
      <c r="K22" s="374"/>
      <c r="L22" s="375"/>
      <c r="M22" s="112"/>
      <c r="N22" s="101" t="str">
        <f>IF(C22=0," ",_xlfn.IFS(M22=DataSet!$F$25,0,'PO2'!#REF!='PO2'!#REF!,((6/G22)*F22),('PO2'!#REF!/'PO2'!#REF!)&lt;"0.5",2))</f>
        <v xml:space="preserve"> </v>
      </c>
    </row>
    <row r="23" spans="2:14" s="50" customFormat="1" ht="24.5" thickBot="1" x14ac:dyDescent="0.85">
      <c r="B23" s="132" t="str">
        <f t="shared" si="1"/>
        <v/>
      </c>
      <c r="C23" s="331"/>
      <c r="D23" s="332"/>
      <c r="E23" s="333"/>
      <c r="F23" s="113"/>
      <c r="G23" s="113"/>
      <c r="H23" s="258"/>
      <c r="I23" s="259"/>
      <c r="J23" s="259"/>
      <c r="K23" s="262"/>
      <c r="L23" s="263"/>
      <c r="M23" s="114"/>
      <c r="N23" s="115" t="str">
        <f>IF(C23=0," ",_xlfn.IFS(M23=DataSet!$F$25,0,'PO2'!#REF!='PO2'!#REF!,((6/G23)*F23),('PO2'!#REF!/'PO2'!#REF!)&lt;"0.5",2))</f>
        <v xml:space="preserve"> </v>
      </c>
    </row>
    <row r="24" spans="2:14" s="50" customFormat="1" ht="11" customHeight="1" thickBot="1" x14ac:dyDescent="0.95">
      <c r="B24" s="330"/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</row>
    <row r="25" spans="2:14" s="50" customFormat="1" x14ac:dyDescent="0.8">
      <c r="B25" s="334" t="s">
        <v>419</v>
      </c>
      <c r="C25" s="335"/>
      <c r="D25" s="335"/>
      <c r="E25" s="335"/>
      <c r="F25" s="335"/>
      <c r="G25" s="335"/>
      <c r="H25" s="335"/>
      <c r="I25" s="335"/>
      <c r="J25" s="347" t="s">
        <v>57</v>
      </c>
      <c r="K25" s="347"/>
      <c r="L25" s="266">
        <f>SUM(N27:N31)</f>
        <v>0</v>
      </c>
      <c r="M25" s="345" t="s">
        <v>218</v>
      </c>
      <c r="N25" s="346"/>
    </row>
    <row r="26" spans="2:14" s="50" customFormat="1" x14ac:dyDescent="0.8">
      <c r="B26" s="90" t="s">
        <v>102</v>
      </c>
      <c r="C26" s="312" t="s">
        <v>72</v>
      </c>
      <c r="D26" s="313"/>
      <c r="E26" s="313"/>
      <c r="F26" s="314"/>
      <c r="G26" s="91" t="s">
        <v>321</v>
      </c>
      <c r="H26" s="313" t="s">
        <v>52</v>
      </c>
      <c r="I26" s="313"/>
      <c r="J26" s="313"/>
      <c r="K26" s="314"/>
      <c r="M26" s="116" t="s">
        <v>62</v>
      </c>
      <c r="N26" s="93" t="s">
        <v>49</v>
      </c>
    </row>
    <row r="27" spans="2:14" s="50" customFormat="1" x14ac:dyDescent="0.8">
      <c r="B27" s="96" t="str">
        <f>IF(C27="","",ROW()-26)</f>
        <v/>
      </c>
      <c r="C27" s="328"/>
      <c r="D27" s="328"/>
      <c r="E27" s="328"/>
      <c r="F27" s="329"/>
      <c r="G27" s="117"/>
      <c r="H27" s="342" t="s">
        <v>256</v>
      </c>
      <c r="I27" s="343"/>
      <c r="J27" s="343"/>
      <c r="K27" s="343"/>
      <c r="L27" s="344"/>
      <c r="M27" s="100"/>
      <c r="N27" s="101" t="str">
        <f>IF(C27= 0," ", IF(M27= DataSet!$F$25, 0, (6*G27)/15))</f>
        <v xml:space="preserve"> </v>
      </c>
    </row>
    <row r="28" spans="2:14" s="50" customFormat="1" x14ac:dyDescent="0.8">
      <c r="B28" s="96" t="str">
        <f t="shared" ref="B28:B31" si="2">IF(C28="","",ROW()-26)</f>
        <v/>
      </c>
      <c r="C28" s="328"/>
      <c r="D28" s="328"/>
      <c r="E28" s="328"/>
      <c r="F28" s="329"/>
      <c r="G28" s="117"/>
      <c r="H28" s="336" t="s">
        <v>53</v>
      </c>
      <c r="I28" s="337"/>
      <c r="J28" s="337"/>
      <c r="K28" s="337"/>
      <c r="L28" s="338"/>
      <c r="M28" s="100"/>
      <c r="N28" s="101" t="str">
        <f>IF(C28= 0," ", IF(M28= DataSet!$F$25, 0, (6*G28)/15))</f>
        <v xml:space="preserve"> </v>
      </c>
    </row>
    <row r="29" spans="2:14" s="50" customFormat="1" x14ac:dyDescent="0.8">
      <c r="B29" s="96" t="str">
        <f t="shared" si="2"/>
        <v/>
      </c>
      <c r="C29" s="327"/>
      <c r="D29" s="328"/>
      <c r="E29" s="328"/>
      <c r="F29" s="329"/>
      <c r="G29" s="117"/>
      <c r="H29" s="336" t="s">
        <v>54</v>
      </c>
      <c r="I29" s="337"/>
      <c r="J29" s="337"/>
      <c r="K29" s="337"/>
      <c r="L29" s="338"/>
      <c r="M29" s="100"/>
      <c r="N29" s="101" t="str">
        <f>IF(C29= 0," ", IF(M29= DataSet!$F$25, 0, (6*G29)/15))</f>
        <v xml:space="preserve"> </v>
      </c>
    </row>
    <row r="30" spans="2:14" s="50" customFormat="1" x14ac:dyDescent="0.8">
      <c r="B30" s="96" t="str">
        <f t="shared" si="2"/>
        <v/>
      </c>
      <c r="C30" s="328"/>
      <c r="D30" s="328"/>
      <c r="E30" s="328"/>
      <c r="F30" s="329"/>
      <c r="G30" s="117"/>
      <c r="H30" s="336" t="s">
        <v>55</v>
      </c>
      <c r="I30" s="337"/>
      <c r="J30" s="337"/>
      <c r="K30" s="337"/>
      <c r="L30" s="338"/>
      <c r="M30" s="100"/>
      <c r="N30" s="101" t="str">
        <f>IF(C30= 0," ", IF(M30= DataSet!$F$25, 0, (6*G30)/15))</f>
        <v xml:space="preserve"> </v>
      </c>
    </row>
    <row r="31" spans="2:14" s="50" customFormat="1" ht="24.5" thickBot="1" x14ac:dyDescent="0.85">
      <c r="B31" s="226" t="str">
        <f t="shared" si="2"/>
        <v/>
      </c>
      <c r="C31" s="332"/>
      <c r="D31" s="332"/>
      <c r="E31" s="332"/>
      <c r="F31" s="333"/>
      <c r="G31" s="118"/>
      <c r="H31" s="339" t="s">
        <v>376</v>
      </c>
      <c r="I31" s="340"/>
      <c r="J31" s="340"/>
      <c r="K31" s="340"/>
      <c r="L31" s="341"/>
      <c r="M31" s="104"/>
      <c r="N31" s="115" t="str">
        <f>IF(C31= 0," ", IF(M31= DataSet!$F$25, 0, (6*G31)/15))</f>
        <v xml:space="preserve"> </v>
      </c>
    </row>
    <row r="32" spans="2:14" s="50" customFormat="1" ht="11.5" customHeight="1" thickBot="1" x14ac:dyDescent="0.85">
      <c r="B32" s="48"/>
      <c r="C32" s="48"/>
      <c r="D32" s="48"/>
      <c r="E32" s="48"/>
      <c r="F32" s="119"/>
      <c r="G32" s="119"/>
      <c r="H32" s="119"/>
      <c r="I32" s="48"/>
      <c r="J32" s="48"/>
      <c r="K32" s="48"/>
      <c r="L32" s="48"/>
      <c r="M32" s="120"/>
    </row>
    <row r="33" spans="2:14" s="50" customFormat="1" x14ac:dyDescent="0.8">
      <c r="B33" s="334" t="s">
        <v>420</v>
      </c>
      <c r="C33" s="335"/>
      <c r="D33" s="335"/>
      <c r="E33" s="335"/>
      <c r="F33" s="335"/>
      <c r="G33" s="335"/>
      <c r="H33" s="335"/>
      <c r="I33" s="335"/>
      <c r="J33" s="347" t="s">
        <v>57</v>
      </c>
      <c r="K33" s="347"/>
      <c r="L33" s="266">
        <f>SUM(N35:N39)</f>
        <v>0</v>
      </c>
      <c r="M33" s="345" t="s">
        <v>218</v>
      </c>
      <c r="N33" s="346"/>
    </row>
    <row r="34" spans="2:14" s="50" customFormat="1" x14ac:dyDescent="0.8">
      <c r="B34" s="90" t="s">
        <v>102</v>
      </c>
      <c r="C34" s="312" t="s">
        <v>72</v>
      </c>
      <c r="D34" s="313"/>
      <c r="E34" s="314"/>
      <c r="F34" s="92" t="s">
        <v>78</v>
      </c>
      <c r="G34" s="92" t="s">
        <v>60</v>
      </c>
      <c r="H34" s="348" t="s">
        <v>52</v>
      </c>
      <c r="I34" s="349"/>
      <c r="J34" s="349"/>
      <c r="K34" s="349"/>
      <c r="L34" s="350"/>
      <c r="M34" s="109" t="s">
        <v>62</v>
      </c>
      <c r="N34" s="110" t="s">
        <v>49</v>
      </c>
    </row>
    <row r="35" spans="2:14" s="50" customFormat="1" x14ac:dyDescent="0.8">
      <c r="B35" s="111" t="str">
        <f>IF(C35="","",ROW()-34)</f>
        <v/>
      </c>
      <c r="C35" s="327"/>
      <c r="D35" s="328"/>
      <c r="E35" s="329"/>
      <c r="F35" s="99"/>
      <c r="G35" s="99"/>
      <c r="H35" s="351" t="s">
        <v>377</v>
      </c>
      <c r="I35" s="352"/>
      <c r="J35" s="352"/>
      <c r="K35" s="352"/>
      <c r="L35" s="353"/>
      <c r="M35" s="112"/>
      <c r="N35" s="101" t="str">
        <f>IF(C35= 0," ", IF(M35= DataSet!$F$25, 0, (24/G35)*F35))</f>
        <v xml:space="preserve"> </v>
      </c>
    </row>
    <row r="36" spans="2:14" s="50" customFormat="1" x14ac:dyDescent="0.8">
      <c r="B36" s="111" t="str">
        <f t="shared" ref="B36:B39" si="3">IF(C36="","",ROW()-34)</f>
        <v/>
      </c>
      <c r="C36" s="327"/>
      <c r="D36" s="328"/>
      <c r="E36" s="329"/>
      <c r="F36" s="99"/>
      <c r="G36" s="99"/>
      <c r="H36" s="354" t="s">
        <v>58</v>
      </c>
      <c r="I36" s="355"/>
      <c r="J36" s="355"/>
      <c r="K36" s="355"/>
      <c r="L36" s="356"/>
      <c r="M36" s="112"/>
      <c r="N36" s="101" t="str">
        <f>IF(C36= 0," ", IF(M36= DataSet!$F$25, 0, (24/G36)*F36))</f>
        <v xml:space="preserve"> </v>
      </c>
    </row>
    <row r="37" spans="2:14" s="50" customFormat="1" x14ac:dyDescent="0.8">
      <c r="B37" s="111" t="str">
        <f t="shared" si="3"/>
        <v/>
      </c>
      <c r="C37" s="327"/>
      <c r="D37" s="328"/>
      <c r="E37" s="329"/>
      <c r="F37" s="99"/>
      <c r="G37" s="99"/>
      <c r="H37" s="357" t="s">
        <v>59</v>
      </c>
      <c r="I37" s="358"/>
      <c r="J37" s="358"/>
      <c r="K37" s="358"/>
      <c r="L37" s="359"/>
      <c r="M37" s="112"/>
      <c r="N37" s="101" t="str">
        <f>IF(C37= 0," ", IF(M37= DataSet!$F$25, 0, (24/G37)*F37))</f>
        <v xml:space="preserve"> </v>
      </c>
    </row>
    <row r="38" spans="2:14" s="50" customFormat="1" x14ac:dyDescent="0.8">
      <c r="B38" s="111" t="str">
        <f t="shared" si="3"/>
        <v/>
      </c>
      <c r="C38" s="327"/>
      <c r="D38" s="328"/>
      <c r="E38" s="329"/>
      <c r="F38" s="99"/>
      <c r="G38" s="99"/>
      <c r="H38" s="357" t="s">
        <v>61</v>
      </c>
      <c r="I38" s="358"/>
      <c r="J38" s="358"/>
      <c r="K38" s="358"/>
      <c r="L38" s="359"/>
      <c r="M38" s="112"/>
      <c r="N38" s="101" t="str">
        <f>IF(C38= 0," ", IF(M38= DataSet!$F$25, 0, (24/G38)*F38))</f>
        <v xml:space="preserve"> </v>
      </c>
    </row>
    <row r="39" spans="2:14" s="50" customFormat="1" ht="24.5" thickBot="1" x14ac:dyDescent="0.85">
      <c r="B39" s="132" t="str">
        <f t="shared" si="3"/>
        <v/>
      </c>
      <c r="C39" s="331"/>
      <c r="D39" s="332"/>
      <c r="E39" s="333"/>
      <c r="F39" s="113"/>
      <c r="G39" s="113"/>
      <c r="H39" s="360" t="s">
        <v>322</v>
      </c>
      <c r="I39" s="361"/>
      <c r="J39" s="361"/>
      <c r="K39" s="361"/>
      <c r="L39" s="362"/>
      <c r="M39" s="114"/>
      <c r="N39" s="115" t="str">
        <f>IF(C39= 0," ", IF(M39= DataSet!$F$25, 0, (24/G39)*F39))</f>
        <v xml:space="preserve"> </v>
      </c>
    </row>
    <row r="40" spans="2:14" s="50" customFormat="1" x14ac:dyDescent="0.8"/>
  </sheetData>
  <sheetProtection sheet="1" selectLockedCells="1"/>
  <mergeCells count="61">
    <mergeCell ref="H39:L39"/>
    <mergeCell ref="J7:K7"/>
    <mergeCell ref="M7:N7"/>
    <mergeCell ref="B6:N6"/>
    <mergeCell ref="C39:E39"/>
    <mergeCell ref="M16:N16"/>
    <mergeCell ref="J16:K16"/>
    <mergeCell ref="B16:I16"/>
    <mergeCell ref="M17:N17"/>
    <mergeCell ref="J17:K17"/>
    <mergeCell ref="H18:L18"/>
    <mergeCell ref="H22:L22"/>
    <mergeCell ref="H19:L19"/>
    <mergeCell ref="J25:K25"/>
    <mergeCell ref="M25:N25"/>
    <mergeCell ref="C36:E36"/>
    <mergeCell ref="C37:E37"/>
    <mergeCell ref="C38:E38"/>
    <mergeCell ref="H36:L36"/>
    <mergeCell ref="H37:L37"/>
    <mergeCell ref="H38:L38"/>
    <mergeCell ref="C34:E34"/>
    <mergeCell ref="C35:E35"/>
    <mergeCell ref="M33:N33"/>
    <mergeCell ref="J33:K33"/>
    <mergeCell ref="B33:I33"/>
    <mergeCell ref="H34:L34"/>
    <mergeCell ref="H35:L35"/>
    <mergeCell ref="C30:F30"/>
    <mergeCell ref="C31:F31"/>
    <mergeCell ref="H30:L30"/>
    <mergeCell ref="H31:L31"/>
    <mergeCell ref="C27:F27"/>
    <mergeCell ref="C28:F28"/>
    <mergeCell ref="C29:F29"/>
    <mergeCell ref="H27:L27"/>
    <mergeCell ref="H28:L28"/>
    <mergeCell ref="H29:L29"/>
    <mergeCell ref="C26:F26"/>
    <mergeCell ref="H26:K26"/>
    <mergeCell ref="B25:I25"/>
    <mergeCell ref="C21:E21"/>
    <mergeCell ref="C22:E22"/>
    <mergeCell ref="C23:E23"/>
    <mergeCell ref="J9:L14"/>
    <mergeCell ref="C11:E11"/>
    <mergeCell ref="C12:E12"/>
    <mergeCell ref="C13:E13"/>
    <mergeCell ref="B24:M24"/>
    <mergeCell ref="C9:E9"/>
    <mergeCell ref="C10:E10"/>
    <mergeCell ref="C18:E18"/>
    <mergeCell ref="C19:E19"/>
    <mergeCell ref="C20:E20"/>
    <mergeCell ref="C14:E14"/>
    <mergeCell ref="B2:N2"/>
    <mergeCell ref="B1:J1"/>
    <mergeCell ref="B5:N5"/>
    <mergeCell ref="J8:L8"/>
    <mergeCell ref="B4:N4"/>
    <mergeCell ref="C8:E8"/>
  </mergeCells>
  <phoneticPr fontId="8" type="noConversion"/>
  <conditionalFormatting sqref="L7">
    <cfRule type="cellIs" dxfId="27" priority="5" operator="greaterThan">
      <formula>0</formula>
    </cfRule>
  </conditionalFormatting>
  <conditionalFormatting sqref="L16">
    <cfRule type="cellIs" dxfId="26" priority="4" operator="greaterThan">
      <formula>0</formula>
    </cfRule>
  </conditionalFormatting>
  <conditionalFormatting sqref="L17">
    <cfRule type="cellIs" dxfId="25" priority="1" operator="greaterThan">
      <formula>0</formula>
    </cfRule>
  </conditionalFormatting>
  <conditionalFormatting sqref="L25">
    <cfRule type="cellIs" dxfId="24" priority="3" operator="greaterThan">
      <formula>0</formula>
    </cfRule>
  </conditionalFormatting>
  <conditionalFormatting sqref="L33">
    <cfRule type="cellIs" dxfId="23" priority="2" operator="greaterThan">
      <formula>0</formula>
    </cfRule>
  </conditionalFormatting>
  <dataValidations count="1">
    <dataValidation type="list" allowBlank="1" showInputMessage="1" showErrorMessage="1" sqref="M20:M23 J32" xr:uid="{36057462-EAB7-4DE8-878A-468D9322EAD2}">
      <formula1>$F$25:$F$26</formula1>
    </dataValidation>
  </dataValidations>
  <pageMargins left="0.39" right="0.35" top="0.52" bottom="0.34" header="0.3" footer="0.3"/>
  <pageSetup scale="70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FD2D2E9-7844-44E3-9C6B-C1FB48CBDA90}">
          <x14:formula1>
            <xm:f>DataSet!$F$22:$F$23</xm:f>
          </x14:formula1>
          <xm:sqref>M9:M14</xm:sqref>
        </x14:dataValidation>
        <x14:dataValidation type="list" allowBlank="1" showInputMessage="1" showErrorMessage="1" xr:uid="{87D4B2F3-B51B-4F78-B08B-D1FB9520D2E3}">
          <x14:formula1>
            <xm:f>DataSet!$F$24:$F$25</xm:f>
          </x14:formula1>
          <xm:sqref>M19 M27:M31 M35:M39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EA06EA"/>
    <pageSetUpPr fitToPage="1"/>
  </sheetPr>
  <dimension ref="B1:T93"/>
  <sheetViews>
    <sheetView zoomScaleNormal="100" workbookViewId="0">
      <pane ySplit="7" topLeftCell="A8" activePane="bottomLeft" state="frozen"/>
      <selection pane="bottomLeft" activeCell="C11" sqref="C11:E11"/>
    </sheetView>
  </sheetViews>
  <sheetFormatPr defaultColWidth="9" defaultRowHeight="24" x14ac:dyDescent="0.8"/>
  <cols>
    <col min="1" max="1" width="3.6640625" style="48" customWidth="1"/>
    <col min="2" max="2" width="3.9140625" style="48" customWidth="1"/>
    <col min="3" max="4" width="9" style="48"/>
    <col min="5" max="5" width="27.1640625" style="48" customWidth="1"/>
    <col min="6" max="6" width="11" style="48" customWidth="1"/>
    <col min="7" max="7" width="9.9140625" style="48" bestFit="1" customWidth="1"/>
    <col min="8" max="11" width="9" style="48"/>
    <col min="12" max="12" width="10.4140625" style="48" bestFit="1" customWidth="1"/>
    <col min="13" max="13" width="9.4140625" style="48" customWidth="1"/>
    <col min="14" max="14" width="0" style="48" hidden="1" customWidth="1"/>
    <col min="15" max="20" width="0" style="50" hidden="1" customWidth="1"/>
    <col min="21" max="27" width="0" style="48" hidden="1" customWidth="1"/>
    <col min="28" max="16384" width="9" style="48"/>
  </cols>
  <sheetData>
    <row r="1" spans="2:20" ht="26.25" customHeight="1" x14ac:dyDescent="1">
      <c r="B1" s="308" t="s">
        <v>50</v>
      </c>
      <c r="C1" s="308"/>
      <c r="D1" s="308"/>
      <c r="E1" s="308"/>
      <c r="F1" s="308"/>
      <c r="G1" s="308"/>
      <c r="H1" s="308"/>
      <c r="I1" s="308"/>
      <c r="J1" s="86">
        <f>DataSet!H5</f>
        <v>2569</v>
      </c>
      <c r="L1" s="87"/>
      <c r="M1" s="87"/>
    </row>
    <row r="2" spans="2:20" ht="26.25" customHeight="1" x14ac:dyDescent="0.8">
      <c r="B2" s="307" t="s">
        <v>38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</row>
    <row r="3" spans="2:20" ht="9.75" customHeight="1" thickBot="1" x14ac:dyDescent="0.85"/>
    <row r="4" spans="2:20" ht="30.5" thickBot="1" x14ac:dyDescent="1.05">
      <c r="B4" s="388" t="s">
        <v>140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90"/>
    </row>
    <row r="5" spans="2:20" ht="7.5" customHeight="1" x14ac:dyDescent="1"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</row>
    <row r="6" spans="2:20" s="251" customFormat="1" ht="27.5" thickBot="1" x14ac:dyDescent="0.95">
      <c r="B6" s="253" t="s">
        <v>421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O6" s="252"/>
      <c r="P6" s="252"/>
      <c r="Q6" s="252"/>
      <c r="R6" s="252"/>
      <c r="S6" s="252"/>
      <c r="T6" s="252"/>
    </row>
    <row r="7" spans="2:20" s="89" customFormat="1" ht="30.5" thickBot="1" x14ac:dyDescent="1.05">
      <c r="B7" s="397" t="s">
        <v>422</v>
      </c>
      <c r="C7" s="394"/>
      <c r="D7" s="394"/>
      <c r="E7" s="394"/>
      <c r="F7" s="394"/>
      <c r="G7" s="394"/>
      <c r="H7" s="394"/>
      <c r="I7" s="396" t="s">
        <v>56</v>
      </c>
      <c r="J7" s="396"/>
      <c r="K7" s="265">
        <f>SUM(K9,K17,K28,K41)</f>
        <v>0</v>
      </c>
      <c r="L7" s="394" t="s">
        <v>218</v>
      </c>
      <c r="M7" s="395"/>
      <c r="T7" s="88"/>
    </row>
    <row r="8" spans="2:20" ht="7.5" customHeight="1" thickBot="1" x14ac:dyDescent="0.85"/>
    <row r="9" spans="2:20" x14ac:dyDescent="0.8">
      <c r="B9" s="268" t="s">
        <v>423</v>
      </c>
      <c r="C9" s="269"/>
      <c r="D9" s="269"/>
      <c r="E9" s="269"/>
      <c r="F9" s="269"/>
      <c r="G9" s="269"/>
      <c r="H9" s="269"/>
      <c r="I9" s="347" t="s">
        <v>57</v>
      </c>
      <c r="J9" s="347"/>
      <c r="K9" s="266">
        <f>SUM(M11:M15)</f>
        <v>0</v>
      </c>
      <c r="L9" s="335" t="s">
        <v>218</v>
      </c>
      <c r="M9" s="386"/>
    </row>
    <row r="10" spans="2:20" x14ac:dyDescent="0.8">
      <c r="B10" s="90" t="s">
        <v>102</v>
      </c>
      <c r="C10" s="312" t="s">
        <v>72</v>
      </c>
      <c r="D10" s="313"/>
      <c r="E10" s="314"/>
      <c r="F10" s="92" t="s">
        <v>378</v>
      </c>
      <c r="G10" s="92" t="s">
        <v>65</v>
      </c>
      <c r="H10" s="387" t="s">
        <v>52</v>
      </c>
      <c r="I10" s="387"/>
      <c r="J10" s="387"/>
      <c r="K10" s="387"/>
      <c r="L10" s="109" t="s">
        <v>62</v>
      </c>
      <c r="M10" s="110" t="s">
        <v>49</v>
      </c>
    </row>
    <row r="11" spans="2:20" x14ac:dyDescent="0.8">
      <c r="B11" s="96" t="str">
        <f>IF(C11="","",ROW()-33)</f>
        <v/>
      </c>
      <c r="C11" s="327"/>
      <c r="D11" s="328"/>
      <c r="E11" s="329"/>
      <c r="F11" s="99"/>
      <c r="G11" s="99"/>
      <c r="H11" s="391" t="s">
        <v>63</v>
      </c>
      <c r="I11" s="358"/>
      <c r="J11" s="358"/>
      <c r="K11" s="359"/>
      <c r="L11" s="112"/>
      <c r="M11" s="101" t="str">
        <f>IF(C11= 0," ", IF(L11= DataSet!$F$25, 0, IF(G11= DataSet!$F$29, ((DataSet!$G$29*F11)/100), ((DataSet!$G$30*F11)/100))))</f>
        <v xml:space="preserve"> </v>
      </c>
    </row>
    <row r="12" spans="2:20" x14ac:dyDescent="0.8">
      <c r="B12" s="96" t="str">
        <f t="shared" ref="B12:B15" si="0">IF(C12="","",ROW()-33)</f>
        <v/>
      </c>
      <c r="C12" s="327"/>
      <c r="D12" s="328"/>
      <c r="E12" s="329"/>
      <c r="F12" s="99"/>
      <c r="G12" s="99"/>
      <c r="H12" s="392" t="s">
        <v>64</v>
      </c>
      <c r="I12" s="392"/>
      <c r="J12" s="392"/>
      <c r="K12" s="393"/>
      <c r="L12" s="112"/>
      <c r="M12" s="101" t="str">
        <f>IF(C12= 0," ", IF(L12= DataSet!$F$25, 0, IF(G12= DataSet!$F$29, ((DataSet!$G$29*F12)/100), ((DataSet!$G$30*F12)/100))))</f>
        <v xml:space="preserve"> </v>
      </c>
    </row>
    <row r="13" spans="2:20" x14ac:dyDescent="0.8">
      <c r="B13" s="96" t="str">
        <f t="shared" si="0"/>
        <v/>
      </c>
      <c r="C13" s="327"/>
      <c r="D13" s="328"/>
      <c r="E13" s="329"/>
      <c r="F13" s="99"/>
      <c r="G13" s="99"/>
      <c r="H13" s="358" t="s">
        <v>68</v>
      </c>
      <c r="I13" s="358"/>
      <c r="J13" s="358"/>
      <c r="K13" s="359"/>
      <c r="L13" s="112"/>
      <c r="M13" s="101" t="str">
        <f>IF(C13= 0," ", IF(L13= DataSet!$F$25, 0, IF(G13= DataSet!$F$29, ((DataSet!$G$29*F13)/100), ((DataSet!$G$30*F13)/100))))</f>
        <v xml:space="preserve"> </v>
      </c>
    </row>
    <row r="14" spans="2:20" x14ac:dyDescent="0.8">
      <c r="B14" s="96" t="str">
        <f t="shared" si="0"/>
        <v/>
      </c>
      <c r="C14" s="327"/>
      <c r="D14" s="328"/>
      <c r="E14" s="329"/>
      <c r="F14" s="99"/>
      <c r="G14" s="99"/>
      <c r="H14" s="358" t="s">
        <v>69</v>
      </c>
      <c r="I14" s="358"/>
      <c r="J14" s="358"/>
      <c r="K14" s="359"/>
      <c r="L14" s="112"/>
      <c r="M14" s="101" t="str">
        <f>IF(C14= 0," ", IF(L14= DataSet!$F$25, 0, IF(G14= DataSet!$F$29, ((DataSet!$G$29*F14)/100), ((DataSet!$G$30*F14)/100))))</f>
        <v xml:space="preserve"> </v>
      </c>
    </row>
    <row r="15" spans="2:20" ht="24.5" thickBot="1" x14ac:dyDescent="0.85">
      <c r="B15" s="96" t="str">
        <f t="shared" si="0"/>
        <v/>
      </c>
      <c r="C15" s="331"/>
      <c r="D15" s="332"/>
      <c r="E15" s="333"/>
      <c r="F15" s="113"/>
      <c r="G15" s="113"/>
      <c r="H15" s="360" t="s">
        <v>70</v>
      </c>
      <c r="I15" s="361"/>
      <c r="J15" s="361"/>
      <c r="K15" s="362"/>
      <c r="L15" s="114"/>
      <c r="M15" s="101" t="str">
        <f>IF(C15= 0," ", IF(L15= DataSet!$F$25, 0, IF(G15= DataSet!$F$29, ((DataSet!$G$29*F15)/100), ((DataSet!$G$30*F15)/100))))</f>
        <v xml:space="preserve"> </v>
      </c>
    </row>
    <row r="16" spans="2:20" ht="7.5" customHeight="1" thickBot="1" x14ac:dyDescent="0.85"/>
    <row r="17" spans="2:13" x14ac:dyDescent="0.8">
      <c r="B17" s="268" t="s">
        <v>424</v>
      </c>
      <c r="C17" s="269"/>
      <c r="D17" s="269"/>
      <c r="E17" s="269"/>
      <c r="F17" s="269"/>
      <c r="G17" s="269"/>
      <c r="H17" s="269"/>
      <c r="I17" s="347" t="s">
        <v>57</v>
      </c>
      <c r="J17" s="347"/>
      <c r="K17" s="266">
        <f>SUM(M19:M26)</f>
        <v>0</v>
      </c>
      <c r="L17" s="335" t="s">
        <v>218</v>
      </c>
      <c r="M17" s="386"/>
    </row>
    <row r="18" spans="2:13" x14ac:dyDescent="0.8">
      <c r="B18" s="90" t="s">
        <v>102</v>
      </c>
      <c r="C18" s="312" t="s">
        <v>72</v>
      </c>
      <c r="D18" s="313"/>
      <c r="E18" s="314"/>
      <c r="F18" s="92" t="s">
        <v>378</v>
      </c>
      <c r="G18" s="312" t="s">
        <v>73</v>
      </c>
      <c r="H18" s="314"/>
      <c r="I18" s="312" t="s">
        <v>52</v>
      </c>
      <c r="J18" s="313"/>
      <c r="K18" s="314"/>
      <c r="L18" s="109" t="s">
        <v>62</v>
      </c>
      <c r="M18" s="110" t="s">
        <v>49</v>
      </c>
    </row>
    <row r="19" spans="2:13" x14ac:dyDescent="0.8">
      <c r="B19" s="96" t="str">
        <f>IF(C19="","",ROW()-41)</f>
        <v/>
      </c>
      <c r="C19" s="327"/>
      <c r="D19" s="328"/>
      <c r="E19" s="329"/>
      <c r="F19" s="99"/>
      <c r="G19" s="379"/>
      <c r="H19" s="380"/>
      <c r="I19" s="383" t="s">
        <v>306</v>
      </c>
      <c r="J19" s="384"/>
      <c r="K19" s="385"/>
      <c r="L19" s="112"/>
      <c r="M19" s="101" t="str">
        <f>IF(C19=0," ",IF(L19=DataSet!$F$25,0,IF(G19=DataSet!F32,(DataSet!H32*F19),IF(G19=DataSet!F33,(DataSet!H33*F19),IF(G19=DataSet!F34,(DataSet!H34*F19),IF(G19=DataSet!F35,(DataSet!H35*F19),IF(G19=DataSet!F36,(DataSet!H36*F19),IF(G19=DataSet!F37,(DataSet!H37*F19),IF(G19=DataSet!F38,(DataSet!H38*F19),IF(G19=DataSet!F39,(DataSet!H39*F19),0))))))))))</f>
        <v xml:space="preserve"> </v>
      </c>
    </row>
    <row r="20" spans="2:13" x14ac:dyDescent="0.8">
      <c r="B20" s="96" t="str">
        <f t="shared" ref="B20:B26" si="1">IF(C20="","",ROW()-41)</f>
        <v/>
      </c>
      <c r="C20" s="327"/>
      <c r="D20" s="328"/>
      <c r="E20" s="329"/>
      <c r="F20" s="99"/>
      <c r="G20" s="379"/>
      <c r="H20" s="380"/>
      <c r="I20" s="354" t="s">
        <v>307</v>
      </c>
      <c r="J20" s="355"/>
      <c r="K20" s="356"/>
      <c r="L20" s="112"/>
      <c r="M20" s="101" t="str">
        <f>IF(C20=0," ",IF(L20=DataSet!$F$25,0,IF(G20=DataSet!F33,(DataSet!H33*F20),IF(G20=DataSet!F34,(DataSet!H34*F20),IF(G20=DataSet!F35,(DataSet!H35*F20),IF(G20=DataSet!F36,(DataSet!H36*F20),IF(G20=DataSet!F37,(DataSet!H37*F20),IF(G20=DataSet!F38,(DataSet!H38*F20),IF(G20=DataSet!F39,(DataSet!H39*F20),IF(G20=DataSet!F40,(DataSet!H40*F20),0))))))))))</f>
        <v xml:space="preserve"> </v>
      </c>
    </row>
    <row r="21" spans="2:13" x14ac:dyDescent="0.8">
      <c r="B21" s="96" t="str">
        <f t="shared" si="1"/>
        <v/>
      </c>
      <c r="C21" s="327"/>
      <c r="D21" s="328"/>
      <c r="E21" s="329"/>
      <c r="F21" s="99"/>
      <c r="G21" s="379"/>
      <c r="H21" s="380"/>
      <c r="I21" s="354" t="s">
        <v>314</v>
      </c>
      <c r="J21" s="358"/>
      <c r="K21" s="359"/>
      <c r="L21" s="112"/>
      <c r="M21" s="101" t="str">
        <f>IF(C21=0," ",IF(L21=DataSet!$F$25,0,IF(G21=DataSet!F34,(DataSet!H34*F21),IF(G21=DataSet!F35,(DataSet!H35*F21),IF(G21=DataSet!F36,(DataSet!H36*F21),IF(G21=DataSet!F37,(DataSet!H37*F21),IF(G21=DataSet!F38,(DataSet!H38*F21),IF(G21=DataSet!F39,(DataSet!H39*F21),IF(G21=DataSet!F40,(DataSet!H40*F21),IF(G21=DataSet!F41,(DataSet!H41*F21),0))))))))))</f>
        <v xml:space="preserve"> </v>
      </c>
    </row>
    <row r="22" spans="2:13" x14ac:dyDescent="0.8">
      <c r="B22" s="96" t="str">
        <f t="shared" si="1"/>
        <v/>
      </c>
      <c r="C22" s="327"/>
      <c r="D22" s="328"/>
      <c r="E22" s="329"/>
      <c r="F22" s="99"/>
      <c r="G22" s="379"/>
      <c r="H22" s="380"/>
      <c r="I22" s="357" t="s">
        <v>315</v>
      </c>
      <c r="J22" s="358"/>
      <c r="K22" s="359"/>
      <c r="L22" s="112"/>
      <c r="M22" s="101" t="str">
        <f>IF(C22=0," ",IF(L22=DataSet!$F$25,0,IF(G22=DataSet!F35,(DataSet!H35*F22),IF(G22=DataSet!F36,(DataSet!H36*F22),IF(G22=DataSet!F37,(DataSet!H37*F22),IF(G22=DataSet!F38,(DataSet!H38*F22),IF(G22=DataSet!F39,(DataSet!H39*F22),IF(G22=DataSet!F40,(DataSet!H40*F22),IF(G22=DataSet!F41,(DataSet!H41*F22),IF(G22=DataSet!F42,(DataSet!H42*F22),0))))))))))</f>
        <v xml:space="preserve"> </v>
      </c>
    </row>
    <row r="23" spans="2:13" x14ac:dyDescent="0.8">
      <c r="B23" s="96" t="str">
        <f t="shared" si="1"/>
        <v/>
      </c>
      <c r="C23" s="327"/>
      <c r="D23" s="328"/>
      <c r="E23" s="329"/>
      <c r="F23" s="99"/>
      <c r="G23" s="379"/>
      <c r="H23" s="380"/>
      <c r="I23" s="391" t="s">
        <v>75</v>
      </c>
      <c r="J23" s="358"/>
      <c r="K23" s="358"/>
      <c r="L23" s="112"/>
      <c r="M23" s="101" t="str">
        <f>IF(C23=0," ",IF(L23=DataSet!$F$25,0,IF(G23=DataSet!F36,(DataSet!H36*F23),IF(G23=DataSet!F37,(DataSet!H37*F23),IF(G23=DataSet!F38,(DataSet!H38*F23),IF(G23=DataSet!F39,(DataSet!H39*F23),IF(G23=DataSet!F40,(DataSet!H40*F23),IF(G23=DataSet!F41,(DataSet!H41*F23),IF(G23=DataSet!F42,(DataSet!H42*F23),IF(G23=DataSet!F43,(DataSet!H43*F23),0))))))))))</f>
        <v xml:space="preserve"> </v>
      </c>
    </row>
    <row r="24" spans="2:13" x14ac:dyDescent="0.8">
      <c r="B24" s="96" t="str">
        <f t="shared" si="1"/>
        <v/>
      </c>
      <c r="C24" s="327"/>
      <c r="D24" s="328"/>
      <c r="E24" s="329"/>
      <c r="F24" s="99"/>
      <c r="G24" s="379"/>
      <c r="H24" s="380"/>
      <c r="I24" s="355" t="s">
        <v>308</v>
      </c>
      <c r="J24" s="355"/>
      <c r="K24" s="355"/>
      <c r="L24" s="112"/>
      <c r="M24" s="101" t="str">
        <f>IF(C24=0," ",IF(L24=DataSet!$F$25,0,IF(G24=DataSet!F37,(DataSet!H37*F24),IF(G24=DataSet!F38,(DataSet!H38*F24),IF(G24=DataSet!F39,(DataSet!H39*F24),IF(G24=DataSet!F40,(DataSet!H40*F24),IF(G24=DataSet!F41,(DataSet!H41*F24),IF(G24=DataSet!F42,(DataSet!H42*F24),IF(G24=DataSet!F43,(DataSet!H43*F24),IF(G24=DataSet!F44,(DataSet!H44*F24),0))))))))))</f>
        <v xml:space="preserve"> </v>
      </c>
    </row>
    <row r="25" spans="2:13" x14ac:dyDescent="0.8">
      <c r="B25" s="96" t="str">
        <f t="shared" si="1"/>
        <v/>
      </c>
      <c r="C25" s="327"/>
      <c r="D25" s="328"/>
      <c r="E25" s="329"/>
      <c r="F25" s="99"/>
      <c r="G25" s="379"/>
      <c r="H25" s="380"/>
      <c r="I25" s="354" t="s">
        <v>316</v>
      </c>
      <c r="J25" s="358"/>
      <c r="K25" s="359"/>
      <c r="L25" s="112"/>
      <c r="M25" s="101" t="str">
        <f>IF(C25=0," ",IF(L25=DataSet!$F$25,0,IF(G25=DataSet!F38,(DataSet!H38*F25),IF(G25=DataSet!F39,(DataSet!H39*F25),IF(G25=DataSet!F40,(DataSet!H40*F25),IF(G25=DataSet!F41,(DataSet!H41*F25),IF(G25=DataSet!F42,(DataSet!H42*F25),IF(G25=DataSet!F43,(DataSet!H43*F25),IF(G25=DataSet!F44,(DataSet!H44*F25),IF(G25=DataSet!F45,(DataSet!H45*F25),0))))))))))</f>
        <v xml:space="preserve"> </v>
      </c>
    </row>
    <row r="26" spans="2:13" ht="24.5" thickBot="1" x14ac:dyDescent="0.85">
      <c r="B26" s="96" t="str">
        <f t="shared" si="1"/>
        <v/>
      </c>
      <c r="C26" s="327"/>
      <c r="D26" s="328"/>
      <c r="E26" s="329"/>
      <c r="F26" s="99"/>
      <c r="G26" s="379"/>
      <c r="H26" s="380"/>
      <c r="I26" s="360" t="s">
        <v>317</v>
      </c>
      <c r="J26" s="361"/>
      <c r="K26" s="362"/>
      <c r="L26" s="114"/>
      <c r="M26" s="101" t="str">
        <f>IF(C26=0," ",IF(L26=DataSet!$F$25,0,IF(G26=DataSet!F39,(DataSet!H39*F26),IF(G26=DataSet!F40,(DataSet!H40*F26),IF(G26=DataSet!F41,(DataSet!H41*F26),IF(G26=DataSet!F42,(DataSet!H42*F26),IF(G26=DataSet!F43,(DataSet!H43*F26),IF(G26=DataSet!F44,(DataSet!H44*F26),IF(G26=DataSet!F45,(DataSet!H45*F26),IF(G26=DataSet!F46,(DataSet!H46*F26),0))))))))))</f>
        <v xml:space="preserve"> </v>
      </c>
    </row>
    <row r="27" spans="2:13" ht="7.5" customHeight="1" thickBot="1" x14ac:dyDescent="0.85"/>
    <row r="28" spans="2:13" x14ac:dyDescent="0.8">
      <c r="B28" s="268" t="s">
        <v>425</v>
      </c>
      <c r="C28" s="269"/>
      <c r="D28" s="269"/>
      <c r="E28" s="269"/>
      <c r="F28" s="269"/>
      <c r="G28" s="269"/>
      <c r="H28" s="269"/>
      <c r="I28" s="347" t="s">
        <v>57</v>
      </c>
      <c r="J28" s="347"/>
      <c r="K28" s="266">
        <f>SUM(M30:M39)</f>
        <v>0</v>
      </c>
      <c r="L28" s="335" t="s">
        <v>218</v>
      </c>
      <c r="M28" s="386"/>
    </row>
    <row r="29" spans="2:13" x14ac:dyDescent="0.8">
      <c r="B29" s="90" t="s">
        <v>102</v>
      </c>
      <c r="C29" s="312" t="s">
        <v>72</v>
      </c>
      <c r="D29" s="313"/>
      <c r="E29" s="314"/>
      <c r="F29" s="92" t="s">
        <v>77</v>
      </c>
      <c r="G29" s="312" t="s">
        <v>76</v>
      </c>
      <c r="H29" s="314"/>
      <c r="I29" s="312" t="s">
        <v>52</v>
      </c>
      <c r="J29" s="313"/>
      <c r="K29" s="314"/>
      <c r="L29" s="109" t="s">
        <v>62</v>
      </c>
      <c r="M29" s="93" t="s">
        <v>49</v>
      </c>
    </row>
    <row r="30" spans="2:13" x14ac:dyDescent="0.8">
      <c r="B30" s="96" t="str">
        <f>IF(C30="","",ROW()-52)</f>
        <v/>
      </c>
      <c r="C30" s="327"/>
      <c r="D30" s="328"/>
      <c r="E30" s="329"/>
      <c r="F30" s="99"/>
      <c r="G30" s="379"/>
      <c r="H30" s="380"/>
      <c r="I30" s="383" t="s">
        <v>82</v>
      </c>
      <c r="J30" s="384"/>
      <c r="K30" s="385"/>
      <c r="L30" s="112"/>
      <c r="M30" s="101" t="str">
        <f>IF(C30=0," ",IF(L30=DataSet!F25,0,IF(G30=DataSet!F41,(DataSet!H41/F30),IF(G30=DataSet!F42,(DataSet!H42/F30),IF(G30=DataSet!F43,(DataSet!H43/F30),IF(G30=DataSet!F44,(DataSet!H44/F30),IF(G30=DataSet!F45,(DataSet!H45/F30),IF(G30=DataSet!F46,(DataSet!H46/F30),IF(G30=DataSet!F47,(DataSet!H47/F30),IF(G30=DataSet!F48,(DataSet!H48/F30),IF(G30=DataSet!F49,(DataSet!H49/F30),IF(G30=DataSet!F50,(DataSet!H50/F30),IF(G30=DataSet!F51,(DataSet!H51/F30),IF(G30=DataSet!F52,(DataSet!H52/F30),0))))))))))))))</f>
        <v xml:space="preserve"> </v>
      </c>
    </row>
    <row r="31" spans="2:13" x14ac:dyDescent="0.8">
      <c r="B31" s="96" t="str">
        <f t="shared" ref="B31:B39" si="2">IF(C31="","",ROW()-52)</f>
        <v/>
      </c>
      <c r="C31" s="327"/>
      <c r="D31" s="328"/>
      <c r="E31" s="329"/>
      <c r="F31" s="99"/>
      <c r="G31" s="379"/>
      <c r="H31" s="380"/>
      <c r="I31" s="354" t="s">
        <v>83</v>
      </c>
      <c r="J31" s="355"/>
      <c r="K31" s="356"/>
      <c r="L31" s="112"/>
      <c r="M31" s="101" t="str">
        <f>IF(C31=0," ",IF(L31=DataSet!F25,0,IF(G31=DataSet!F41,(DataSet!H41/F31),IF(G31=DataSet!F42,(DataSet!H42/F31),IF(G31=DataSet!F43,(DataSet!H43/F31),IF(G31=DataSet!F44,(DataSet!H44/F31),IF(G31=DataSet!F45,(DataSet!H45/F31),IF(G31=DataSet!F46,(DataSet!H46/F31),IF(G31=DataSet!F47,(DataSet!H47/F31),IF(G31=DataSet!F48,(DataSet!H48/F31),IF(G31=DataSet!F49,(DataSet!H49/F31),IF(G31=DataSet!F50,(DataSet!H50/F31),IF(G31=DataSet!F51,(DataSet!H51/F31),IF(G31=DataSet!F52,(DataSet!H52/F31),0))))))))))))))</f>
        <v xml:space="preserve"> </v>
      </c>
    </row>
    <row r="32" spans="2:13" x14ac:dyDescent="0.8">
      <c r="B32" s="96" t="str">
        <f t="shared" si="2"/>
        <v/>
      </c>
      <c r="C32" s="327"/>
      <c r="D32" s="328"/>
      <c r="E32" s="329"/>
      <c r="F32" s="99"/>
      <c r="G32" s="379"/>
      <c r="H32" s="380"/>
      <c r="I32" s="354" t="s">
        <v>84</v>
      </c>
      <c r="J32" s="358"/>
      <c r="K32" s="359"/>
      <c r="L32" s="112"/>
      <c r="M32" s="101" t="str">
        <f>IF(C32=0," ",IF(L32=DataSet!F25,0,IF(G32=DataSet!F41,(DataSet!H41/F32),IF(G32=DataSet!F42,(DataSet!H42/F32),IF(G32=DataSet!F43,(DataSet!H43/F32),IF(G32=DataSet!F44,(DataSet!H44/F32),IF(G32=DataSet!F45,(DataSet!H45/F32),IF(G32=DataSet!F46,(DataSet!H46/F32),IF(G32=DataSet!F47,(DataSet!H47/F32),IF(G32=DataSet!F48,(DataSet!H48/F32),IF(G32=DataSet!F49,(DataSet!H49/F32),IF(G32=DataSet!F50,(DataSet!H50/F32),IF(G32=DataSet!F51,(DataSet!H51/F32),IF(G32=DataSet!F52,(DataSet!H52/F32),0))))))))))))))</f>
        <v xml:space="preserve"> </v>
      </c>
    </row>
    <row r="33" spans="2:13" x14ac:dyDescent="0.8">
      <c r="B33" s="96" t="str">
        <f t="shared" si="2"/>
        <v/>
      </c>
      <c r="C33" s="327"/>
      <c r="D33" s="328"/>
      <c r="E33" s="329"/>
      <c r="F33" s="99"/>
      <c r="G33" s="379"/>
      <c r="H33" s="380"/>
      <c r="I33" s="357" t="s">
        <v>85</v>
      </c>
      <c r="J33" s="358"/>
      <c r="K33" s="359"/>
      <c r="L33" s="112"/>
      <c r="M33" s="101" t="str">
        <f>IF(C33=0," ",IF(L33=DataSet!F25,0,IF(G33=DataSet!F41,(DataSet!H41/F33),IF(G33=DataSet!F42,(DataSet!H42/F33),IF(G33=DataSet!F43,(DataSet!H43/F33),IF(G33=DataSet!F44,(DataSet!H44/F33),IF(G33=DataSet!F45,(DataSet!H45/F33),IF(G33=DataSet!F46,(DataSet!H46/F33),IF(G33=DataSet!F47,(DataSet!H47/F33),IF(G33=DataSet!F48,(DataSet!H48/F33),IF(G33=DataSet!F49,(DataSet!H49/F33),IF(G33=DataSet!F50,(DataSet!H50/F33),IF(G33=DataSet!F51,(DataSet!H51/F33),IF(G33=DataSet!F52,(DataSet!H52/F33),0))))))))))))))</f>
        <v xml:space="preserve"> </v>
      </c>
    </row>
    <row r="34" spans="2:13" x14ac:dyDescent="0.8">
      <c r="B34" s="96" t="str">
        <f t="shared" si="2"/>
        <v/>
      </c>
      <c r="C34" s="327"/>
      <c r="D34" s="328"/>
      <c r="E34" s="329"/>
      <c r="F34" s="99"/>
      <c r="G34" s="379"/>
      <c r="H34" s="380"/>
      <c r="I34" s="358" t="s">
        <v>86</v>
      </c>
      <c r="J34" s="358"/>
      <c r="K34" s="358"/>
      <c r="L34" s="112"/>
      <c r="M34" s="101" t="str">
        <f>IF(C34=0," ",IF(L34=DataSet!F25,0,IF(G34=DataSet!F41,(DataSet!H41/F34),IF(G34=DataSet!F42,(DataSet!H42/F34),IF(G34=DataSet!F43,(DataSet!H43/F34),IF(G34=DataSet!F44,(DataSet!H44/F34),IF(G34=DataSet!F45,(DataSet!H45/F34),IF(G34=DataSet!F46,(DataSet!H46/F34),IF(G34=DataSet!F47,(DataSet!H47/F34),IF(G34=DataSet!F48,(DataSet!H48/F34),IF(G34=DataSet!F49,(DataSet!H49/F34),IF(G34=DataSet!F50,(DataSet!H50/F34),IF(G34=DataSet!F51,(DataSet!H51/F34),IF(G34=DataSet!F52,(DataSet!H52/F34),0))))))))))))))</f>
        <v xml:space="preserve"> </v>
      </c>
    </row>
    <row r="35" spans="2:13" x14ac:dyDescent="0.8">
      <c r="B35" s="96" t="str">
        <f t="shared" si="2"/>
        <v/>
      </c>
      <c r="C35" s="328"/>
      <c r="D35" s="328"/>
      <c r="E35" s="329"/>
      <c r="F35" s="99"/>
      <c r="G35" s="379"/>
      <c r="H35" s="380"/>
      <c r="I35" s="355"/>
      <c r="J35" s="355"/>
      <c r="K35" s="355"/>
      <c r="L35" s="112"/>
      <c r="M35" s="101" t="str">
        <f>IF(C35=0," ",IF(L35=DataSet!F26,0,IF(G35=DataSet!F42,(DataSet!H42/F35),IF(G35=DataSet!F43,(DataSet!H43/F35),IF(G35=DataSet!F44,(DataSet!H44/F35),IF(G35=DataSet!F45,(DataSet!H45/F35),IF(G35=DataSet!F46,(DataSet!H46/F35),IF(G35=DataSet!F47,(DataSet!H47/F35),IF(G35=DataSet!F48,(DataSet!H48/F35),IF(G35=DataSet!F49,(DataSet!H49/F35),IF(G35=DataSet!F50,(DataSet!H50/F35),IF(G35=DataSet!F51,(DataSet!H51/F35),IF(G35=DataSet!F52,(DataSet!H52/F35),IF(G35=DataSet!F53,(DataSet!H53/F35),0))))))))))))))</f>
        <v xml:space="preserve"> </v>
      </c>
    </row>
    <row r="36" spans="2:13" x14ac:dyDescent="0.8">
      <c r="B36" s="96" t="str">
        <f t="shared" si="2"/>
        <v/>
      </c>
      <c r="C36" s="97"/>
      <c r="D36" s="97"/>
      <c r="E36" s="98"/>
      <c r="F36" s="99"/>
      <c r="G36" s="379"/>
      <c r="H36" s="380"/>
      <c r="I36" s="121"/>
      <c r="J36" s="121"/>
      <c r="K36" s="121"/>
      <c r="L36" s="112"/>
      <c r="M36" s="101" t="str">
        <f>IF(C36=0," ",IF(L36=DataSet!F27,0,IF(G36=DataSet!F43,(DataSet!H43/F36),IF(G36=DataSet!F44,(DataSet!H44/F36),IF(G36=DataSet!F45,(DataSet!H45/F36),IF(G36=DataSet!F46,(DataSet!H46/F36),IF(G36=DataSet!F47,(DataSet!H47/F36),IF(G36=DataSet!F48,(DataSet!H48/F36),IF(G36=DataSet!F49,(DataSet!H49/F36),IF(G36=DataSet!F50,(DataSet!H50/F36),IF(G36=DataSet!F51,(DataSet!H51/F36),IF(G36=DataSet!F52,(DataSet!H52/F36),IF(G36=DataSet!F53,(DataSet!H53/F36),IF(G36=DataSet!F54,(DataSet!H54/F36),0))))))))))))))</f>
        <v xml:space="preserve"> </v>
      </c>
    </row>
    <row r="37" spans="2:13" x14ac:dyDescent="0.8">
      <c r="B37" s="96" t="str">
        <f t="shared" si="2"/>
        <v/>
      </c>
      <c r="C37" s="97"/>
      <c r="D37" s="97"/>
      <c r="E37" s="98"/>
      <c r="F37" s="99"/>
      <c r="G37" s="379"/>
      <c r="H37" s="380"/>
      <c r="I37" s="121"/>
      <c r="J37" s="121"/>
      <c r="K37" s="121"/>
      <c r="L37" s="112"/>
      <c r="M37" s="101" t="str">
        <f>IF(C37=0," ",IF(L37=DataSet!F28,0,IF(G37=DataSet!F44,(DataSet!H44/F37),IF(G37=DataSet!F45,(DataSet!H45/F37),IF(G37=DataSet!F46,(DataSet!H46/F37),IF(G37=DataSet!F47,(DataSet!H47/F37),IF(G37=DataSet!F48,(DataSet!H48/F37),IF(G37=DataSet!F49,(DataSet!H49/F37),IF(G37=DataSet!F50,(DataSet!H50/F37),IF(G37=DataSet!F51,(DataSet!H51/F37),IF(G37=DataSet!F52,(DataSet!H52/F37),IF(G37=DataSet!F53,(DataSet!H53/F37),IF(G37=DataSet!F54,(DataSet!H54/F37),IF(G37=DataSet!F55,(DataSet!H55/F37),0))))))))))))))</f>
        <v xml:space="preserve"> </v>
      </c>
    </row>
    <row r="38" spans="2:13" x14ac:dyDescent="0.8">
      <c r="B38" s="96" t="str">
        <f t="shared" si="2"/>
        <v/>
      </c>
      <c r="C38" s="327"/>
      <c r="D38" s="328"/>
      <c r="E38" s="329"/>
      <c r="F38" s="99"/>
      <c r="G38" s="379"/>
      <c r="H38" s="380"/>
      <c r="I38" s="354"/>
      <c r="J38" s="358"/>
      <c r="K38" s="359"/>
      <c r="L38" s="112"/>
      <c r="M38" s="101" t="str">
        <f>IF(C38=0," ",IF(L38=DataSet!F29,0,IF(G38=DataSet!F45,(DataSet!H45/F38),IF(G38=DataSet!F46,(DataSet!H46/F38),IF(G38=DataSet!F47,(DataSet!H47/F38),IF(G38=DataSet!F48,(DataSet!H48/F38),IF(G38=DataSet!F49,(DataSet!H49/F38),IF(G38=DataSet!F50,(DataSet!H50/F38),IF(G38=DataSet!F51,(DataSet!H51/F38),IF(G38=DataSet!F52,(DataSet!H52/F38),IF(G38=DataSet!F53,(DataSet!H53/F38),IF(G38=DataSet!F54,(DataSet!H54/F38),IF(G38=DataSet!F55,(DataSet!H55/F38),IF(G38=DataSet!F56,(DataSet!H56/F38),0))))))))))))))</f>
        <v xml:space="preserve"> </v>
      </c>
    </row>
    <row r="39" spans="2:13" ht="24.5" thickBot="1" x14ac:dyDescent="0.85">
      <c r="B39" s="96" t="str">
        <f t="shared" si="2"/>
        <v/>
      </c>
      <c r="C39" s="331"/>
      <c r="D39" s="332"/>
      <c r="E39" s="333"/>
      <c r="F39" s="113"/>
      <c r="G39" s="381"/>
      <c r="H39" s="382"/>
      <c r="I39" s="360"/>
      <c r="J39" s="361"/>
      <c r="K39" s="362"/>
      <c r="L39" s="114"/>
      <c r="M39" s="115" t="str">
        <f>IF(C39=0," ",IF(L39=DataSet!F25,0,IF(G39=DataSet!F41,(DataSet!H41/F39),IF(G39=DataSet!F42,(DataSet!H42/F39),IF(G39=DataSet!F43,(DataSet!H43/F39),IF(G39=DataSet!F44,(DataSet!H44/F39),IF(G39=DataSet!F45,(DataSet!H45/F39),IF(G39=DataSet!F46,(DataSet!H46/F39),IF(G39=DataSet!F47,(DataSet!H47/F39),IF(G39=DataSet!F48,(DataSet!H48/F39),IF(G39=DataSet!F49,(DataSet!H49/F39),IF(G39=DataSet!F50,(DataSet!H50/F39),IF(G39=DataSet!F51,(DataSet!H51/F39),IF(G39=DataSet!F52,(DataSet!H52/F39),0))))))))))))))</f>
        <v xml:space="preserve"> </v>
      </c>
    </row>
    <row r="40" spans="2:13" ht="7.5" customHeight="1" thickBot="1" x14ac:dyDescent="0.85"/>
    <row r="41" spans="2:13" x14ac:dyDescent="0.8">
      <c r="B41" s="268" t="s">
        <v>426</v>
      </c>
      <c r="C41" s="269"/>
      <c r="D41" s="269"/>
      <c r="E41" s="269"/>
      <c r="F41" s="269"/>
      <c r="G41" s="269"/>
      <c r="H41" s="269"/>
      <c r="I41" s="347" t="s">
        <v>57</v>
      </c>
      <c r="J41" s="347"/>
      <c r="K41" s="266">
        <f>SUM(M43:M50)</f>
        <v>0</v>
      </c>
      <c r="L41" s="335" t="s">
        <v>218</v>
      </c>
      <c r="M41" s="386"/>
    </row>
    <row r="42" spans="2:13" x14ac:dyDescent="0.8">
      <c r="B42" s="90" t="s">
        <v>102</v>
      </c>
      <c r="C42" s="312" t="s">
        <v>72</v>
      </c>
      <c r="D42" s="313"/>
      <c r="E42" s="314"/>
      <c r="F42" s="92" t="s">
        <v>77</v>
      </c>
      <c r="G42" s="312" t="s">
        <v>76</v>
      </c>
      <c r="H42" s="314"/>
      <c r="I42" s="312" t="s">
        <v>52</v>
      </c>
      <c r="J42" s="313"/>
      <c r="K42" s="314"/>
      <c r="L42" s="109" t="s">
        <v>62</v>
      </c>
      <c r="M42" s="110" t="s">
        <v>49</v>
      </c>
    </row>
    <row r="43" spans="2:13" x14ac:dyDescent="0.8">
      <c r="B43" s="96" t="str">
        <f>IF(C43="","",ROW()-63)</f>
        <v/>
      </c>
      <c r="C43" s="327"/>
      <c r="D43" s="328"/>
      <c r="E43" s="329"/>
      <c r="F43" s="99"/>
      <c r="G43" s="379"/>
      <c r="H43" s="380"/>
      <c r="I43" s="383" t="s">
        <v>82</v>
      </c>
      <c r="J43" s="384"/>
      <c r="K43" s="385"/>
      <c r="L43" s="112"/>
      <c r="M43" s="101" t="str">
        <f>IF(C43=0," ",IF(L43=DataSet!F25,0,IF(G43=DataSet!F54,(DataSet!H54/F43),IF(G43=DataSet!F55,(DataSet!H55/F43),IF(G43=DataSet!F56,(DataSet!H56/F43),IF(G43=DataSet!F57,(DataSet!H57/F43),IF(G43=DataSet!F58,(DataSet!H58/F43),IF(G43=DataSet!F59,(DataSet!H59/F43),IF(G43=DataSet!F60,(DataSet!H60/F43),IF(G43=DataSet!F61, (DataSet!H61/F43),IF(G43=DataSet!F62,(DataSet!H62/F43),IF(G43=DataSet!F63,(DataSet!H63/F43),0))))))))))))</f>
        <v xml:space="preserve"> </v>
      </c>
    </row>
    <row r="44" spans="2:13" x14ac:dyDescent="0.8">
      <c r="B44" s="96" t="str">
        <f t="shared" ref="B44:B50" si="3">IF(C44="","",ROW()-63)</f>
        <v/>
      </c>
      <c r="C44" s="327"/>
      <c r="D44" s="328"/>
      <c r="E44" s="329"/>
      <c r="F44" s="99"/>
      <c r="G44" s="379"/>
      <c r="H44" s="380"/>
      <c r="I44" s="354" t="s">
        <v>83</v>
      </c>
      <c r="J44" s="355"/>
      <c r="K44" s="356"/>
      <c r="L44" s="112"/>
      <c r="M44" s="101" t="str">
        <f>IF(C44=0," ",IF(L44=DataSet!F25,0,IF(G44=DataSet!F54,(DataSet!H54/F44),IF(G44=DataSet!F55,(DataSet!H55/F44),IF(G44=DataSet!F56,(DataSet!H56/F44),IF(G44=DataSet!F57,(DataSet!H57/F44),IF(G44=DataSet!F58,(DataSet!H58/F44),IF(G44=DataSet!F59,(DataSet!H59/F44),IF(G44=DataSet!F60,(DataSet!H60/F44),IF(G44=DataSet!F61, (DataSet!H61/F44),IF(G44=DataSet!F62,(DataSet!H62/F44),IF(G44=DataSet!F63,(DataSet!H63/F44),0))))))))))))</f>
        <v xml:space="preserve"> </v>
      </c>
    </row>
    <row r="45" spans="2:13" x14ac:dyDescent="0.8">
      <c r="B45" s="96" t="str">
        <f t="shared" si="3"/>
        <v/>
      </c>
      <c r="C45" s="327"/>
      <c r="D45" s="328"/>
      <c r="E45" s="329"/>
      <c r="F45" s="99"/>
      <c r="G45" s="379"/>
      <c r="H45" s="380"/>
      <c r="I45" s="354" t="s">
        <v>84</v>
      </c>
      <c r="J45" s="358"/>
      <c r="K45" s="359"/>
      <c r="L45" s="112"/>
      <c r="M45" s="101" t="str">
        <f>IF(C45=0," ",IF(L45=DataSet!F25,0,IF(G45=DataSet!F54,(DataSet!H54/F45),IF(G45=DataSet!F55,(DataSet!H55/F45),IF(G45=DataSet!F56,(DataSet!H56/F45),IF(G45=DataSet!F57,(DataSet!H57/F45),IF(G45=DataSet!F58,(DataSet!H58/F45),IF(G45=DataSet!F59,(DataSet!H59/F45),IF(G45=DataSet!F60,(DataSet!H60/F45),IF(G45=DataSet!F61, (DataSet!H61/F45),IF(G45=DataSet!F62,(DataSet!H62/F45),IF(G45=DataSet!F63,(DataSet!H63/F45),0))))))))))))</f>
        <v xml:space="preserve"> </v>
      </c>
    </row>
    <row r="46" spans="2:13" x14ac:dyDescent="0.8">
      <c r="B46" s="96" t="str">
        <f t="shared" si="3"/>
        <v/>
      </c>
      <c r="C46" s="327"/>
      <c r="D46" s="328"/>
      <c r="E46" s="329"/>
      <c r="F46" s="99"/>
      <c r="G46" s="379"/>
      <c r="H46" s="380"/>
      <c r="I46" s="357" t="s">
        <v>85</v>
      </c>
      <c r="J46" s="358"/>
      <c r="K46" s="359"/>
      <c r="L46" s="112"/>
      <c r="M46" s="101" t="str">
        <f>IF(C46=0," ",IF(L46=DataSet!F25,0,IF(G46=DataSet!F54,(DataSet!H54/F46),IF(G46=DataSet!F55,(DataSet!H55/F46),IF(G46=DataSet!F56,(DataSet!H56/F46),IF(G46=DataSet!F57,(DataSet!H57/F46),IF(G46=DataSet!F58,(DataSet!H58/F46),IF(G46=DataSet!F59,(DataSet!H59/F46),IF(G46=DataSet!F60,(DataSet!H60/F46),IF(G46=DataSet!F61, (DataSet!H61/F46),IF(G46=DataSet!F62,(DataSet!H62/F46),IF(G46=DataSet!F63,(DataSet!H63/F46),0))))))))))))</f>
        <v xml:space="preserve"> </v>
      </c>
    </row>
    <row r="47" spans="2:13" x14ac:dyDescent="0.8">
      <c r="B47" s="96" t="str">
        <f t="shared" si="3"/>
        <v/>
      </c>
      <c r="C47" s="327"/>
      <c r="D47" s="328"/>
      <c r="E47" s="329"/>
      <c r="F47" s="99"/>
      <c r="G47" s="379"/>
      <c r="H47" s="380"/>
      <c r="I47" s="358" t="s">
        <v>86</v>
      </c>
      <c r="J47" s="358"/>
      <c r="K47" s="358"/>
      <c r="L47" s="112"/>
      <c r="M47" s="101" t="str">
        <f>IF(C47=0," ",IF(L47=DataSet!F25,0,IF(G47=DataSet!F54,(DataSet!H54/F47),IF(G47=DataSet!F55,(DataSet!H55/F47),IF(G47=DataSet!F56,(DataSet!H56/F47),IF(G47=DataSet!F57,(DataSet!H57/F47),IF(G47=DataSet!F58,(DataSet!H58/F47),IF(G47=DataSet!F59,(DataSet!H59/F47),IF(G47=DataSet!F60,(DataSet!H60/F47),IF(G47=DataSet!F61, (DataSet!H61/F47),IF(G47=DataSet!F62,(DataSet!H62/F47),IF(G47=DataSet!F63,(DataSet!H63/F47),0))))))))))))</f>
        <v xml:space="preserve"> </v>
      </c>
    </row>
    <row r="48" spans="2:13" x14ac:dyDescent="0.8">
      <c r="B48" s="96" t="str">
        <f t="shared" si="3"/>
        <v/>
      </c>
      <c r="C48" s="327"/>
      <c r="D48" s="328"/>
      <c r="E48" s="329"/>
      <c r="F48" s="99"/>
      <c r="G48" s="379"/>
      <c r="H48" s="380"/>
      <c r="I48" s="355"/>
      <c r="J48" s="355"/>
      <c r="K48" s="355"/>
      <c r="L48" s="112"/>
      <c r="M48" s="101" t="str">
        <f>IF(C48=0," ",IF(L48=DataSet!F25,0,IF(G48=DataSet!F54,(DataSet!H54/F48),IF(G48=DataSet!F55,(DataSet!H55/F48),IF(G48=DataSet!F56,(DataSet!H56/F48),IF(G48=DataSet!F57,(DataSet!H57/F48),IF(G48=DataSet!F58,(DataSet!H58/F48),IF(G48=DataSet!F59,(DataSet!H59/F48),IF(G48=DataSet!F60,(DataSet!H60/F48),IF(G48=DataSet!F61, (DataSet!H61/F48),IF(G48=DataSet!F62,(DataSet!H62/F48),IF(G48=DataSet!F63,(DataSet!H63/F48),0))))))))))))</f>
        <v xml:space="preserve"> </v>
      </c>
    </row>
    <row r="49" spans="2:19" x14ac:dyDescent="0.8">
      <c r="B49" s="96" t="str">
        <f t="shared" si="3"/>
        <v/>
      </c>
      <c r="C49" s="327"/>
      <c r="D49" s="328"/>
      <c r="E49" s="329"/>
      <c r="F49" s="99"/>
      <c r="G49" s="379"/>
      <c r="H49" s="380"/>
      <c r="I49" s="354"/>
      <c r="J49" s="358"/>
      <c r="K49" s="359"/>
      <c r="L49" s="112"/>
      <c r="M49" s="101" t="str">
        <f>IF(C49=0," ",IF(L49=DataSet!F25,0,IF(G49=DataSet!F54,(DataSet!H54/F49),IF(G49=DataSet!F55,(DataSet!H55/F49),IF(G49=DataSet!F56,(DataSet!H56/F49),IF(G49=DataSet!F57,(DataSet!H57/F49),IF(G49=DataSet!F58,(DataSet!H58/F49),IF(G49=DataSet!F59,(DataSet!H59/F49),IF(G49=DataSet!F60,(DataSet!H60/F49),IF(G49=DataSet!F61, (DataSet!H61/F49),IF(G49=DataSet!F62,(DataSet!H62/F49),IF(G49=DataSet!F63,(DataSet!H63/F49),0))))))))))))</f>
        <v xml:space="preserve"> </v>
      </c>
    </row>
    <row r="50" spans="2:19" ht="24.5" thickBot="1" x14ac:dyDescent="0.85">
      <c r="B50" s="96" t="str">
        <f t="shared" si="3"/>
        <v/>
      </c>
      <c r="C50" s="331"/>
      <c r="D50" s="332"/>
      <c r="E50" s="333"/>
      <c r="F50" s="113"/>
      <c r="G50" s="381"/>
      <c r="H50" s="382"/>
      <c r="I50" s="360"/>
      <c r="J50" s="361"/>
      <c r="K50" s="362"/>
      <c r="L50" s="114"/>
      <c r="M50" s="115" t="str">
        <f>IF(C50=0," ",IF(L50=DataSet!F25,0,IF(G50=DataSet!F54,(DataSet!H54/F50),IF(G50=DataSet!F55,(DataSet!H55/F50),IF(G50=DataSet!F56,(DataSet!H56/F50),IF(G50=DataSet!F57,(DataSet!H57/F50),IF(G50=DataSet!F58,(DataSet!H58/F50),IF(G50=DataSet!F59,(DataSet!H59/F50),IF(G50=DataSet!F60,(DataSet!H60/F50),IF(G50=DataSet!F61, (DataSet!H61/F50),IF(G50=DataSet!F62,(DataSet!H62/F50),IF(G50=DataSet!F63,(DataSet!H63/F50),0))))))))))))</f>
        <v xml:space="preserve"> </v>
      </c>
    </row>
    <row r="52" spans="2:19" s="74" customFormat="1" x14ac:dyDescent="0.8"/>
    <row r="53" spans="2:19" s="74" customFormat="1" x14ac:dyDescent="0.8">
      <c r="D53" s="122"/>
    </row>
    <row r="54" spans="2:19" s="74" customFormat="1" ht="27" x14ac:dyDescent="0.9">
      <c r="C54" s="105"/>
      <c r="D54" s="122"/>
      <c r="F54" s="105"/>
      <c r="G54" s="105"/>
      <c r="S54" s="123"/>
    </row>
    <row r="55" spans="2:19" s="74" customFormat="1" x14ac:dyDescent="0.8"/>
    <row r="56" spans="2:19" s="74" customFormat="1" x14ac:dyDescent="0.8"/>
    <row r="57" spans="2:19" s="74" customFormat="1" x14ac:dyDescent="0.8"/>
    <row r="58" spans="2:19" s="74" customFormat="1" x14ac:dyDescent="0.8"/>
    <row r="59" spans="2:19" s="74" customFormat="1" x14ac:dyDescent="0.8"/>
    <row r="60" spans="2:19" s="74" customFormat="1" x14ac:dyDescent="0.8"/>
    <row r="61" spans="2:19" s="74" customFormat="1" x14ac:dyDescent="0.8"/>
    <row r="62" spans="2:19" s="74" customFormat="1" x14ac:dyDescent="0.8"/>
    <row r="63" spans="2:19" s="74" customFormat="1" x14ac:dyDescent="0.8"/>
    <row r="64" spans="2:19" s="74" customFormat="1" x14ac:dyDescent="0.8"/>
    <row r="65" s="74" customFormat="1" x14ac:dyDescent="0.8"/>
    <row r="66" s="74" customFormat="1" x14ac:dyDescent="0.8"/>
    <row r="67" s="74" customFormat="1" x14ac:dyDescent="0.8"/>
    <row r="68" s="74" customFormat="1" x14ac:dyDescent="0.8"/>
    <row r="69" s="74" customFormat="1" x14ac:dyDescent="0.8"/>
    <row r="70" s="74" customFormat="1" x14ac:dyDescent="0.8"/>
    <row r="71" s="74" customFormat="1" x14ac:dyDescent="0.8"/>
    <row r="72" s="74" customFormat="1" x14ac:dyDescent="0.8"/>
    <row r="73" s="74" customFormat="1" x14ac:dyDescent="0.8"/>
    <row r="74" s="74" customFormat="1" x14ac:dyDescent="0.8"/>
    <row r="75" s="74" customFormat="1" x14ac:dyDescent="0.8"/>
    <row r="76" s="74" customFormat="1" x14ac:dyDescent="0.8"/>
    <row r="77" s="74" customFormat="1" x14ac:dyDescent="0.8"/>
    <row r="78" s="74" customFormat="1" x14ac:dyDescent="0.8"/>
    <row r="79" s="74" customFormat="1" x14ac:dyDescent="0.8"/>
    <row r="80" s="74" customFormat="1" x14ac:dyDescent="0.8"/>
    <row r="81" s="74" customFormat="1" x14ac:dyDescent="0.8"/>
    <row r="82" s="74" customFormat="1" x14ac:dyDescent="0.8"/>
    <row r="83" s="74" customFormat="1" x14ac:dyDescent="0.8"/>
    <row r="84" s="74" customFormat="1" x14ac:dyDescent="0.8"/>
    <row r="85" s="74" customFormat="1" x14ac:dyDescent="0.8"/>
    <row r="86" s="74" customFormat="1" x14ac:dyDescent="0.8"/>
    <row r="87" s="74" customFormat="1" x14ac:dyDescent="0.8"/>
    <row r="88" s="74" customFormat="1" x14ac:dyDescent="0.8"/>
    <row r="89" s="74" customFormat="1" x14ac:dyDescent="0.8"/>
    <row r="90" s="74" customFormat="1" x14ac:dyDescent="0.8"/>
    <row r="91" s="74" customFormat="1" x14ac:dyDescent="0.8"/>
    <row r="92" s="50" customFormat="1" x14ac:dyDescent="0.8"/>
    <row r="93" s="50" customFormat="1" x14ac:dyDescent="0.8"/>
  </sheetData>
  <sheetProtection sheet="1" selectLockedCells="1"/>
  <mergeCells count="109">
    <mergeCell ref="C30:E30"/>
    <mergeCell ref="C31:E31"/>
    <mergeCell ref="C32:E32"/>
    <mergeCell ref="G26:H26"/>
    <mergeCell ref="I26:K26"/>
    <mergeCell ref="I28:J28"/>
    <mergeCell ref="C20:E20"/>
    <mergeCell ref="C21:E21"/>
    <mergeCell ref="C22:E22"/>
    <mergeCell ref="C23:E23"/>
    <mergeCell ref="C24:E24"/>
    <mergeCell ref="C25:E25"/>
    <mergeCell ref="C26:E26"/>
    <mergeCell ref="C29:E29"/>
    <mergeCell ref="G30:H30"/>
    <mergeCell ref="I30:K30"/>
    <mergeCell ref="G31:H31"/>
    <mergeCell ref="I31:K31"/>
    <mergeCell ref="G20:H20"/>
    <mergeCell ref="G21:H21"/>
    <mergeCell ref="G22:H22"/>
    <mergeCell ref="G32:H32"/>
    <mergeCell ref="I32:K32"/>
    <mergeCell ref="B1:I1"/>
    <mergeCell ref="B2:M2"/>
    <mergeCell ref="B4:M4"/>
    <mergeCell ref="C10:E10"/>
    <mergeCell ref="C11:E11"/>
    <mergeCell ref="C12:E12"/>
    <mergeCell ref="C18:E18"/>
    <mergeCell ref="C19:E19"/>
    <mergeCell ref="G23:H23"/>
    <mergeCell ref="I20:K20"/>
    <mergeCell ref="I21:K21"/>
    <mergeCell ref="I22:K22"/>
    <mergeCell ref="I23:K23"/>
    <mergeCell ref="H15:K15"/>
    <mergeCell ref="H11:K11"/>
    <mergeCell ref="H12:K12"/>
    <mergeCell ref="H13:K13"/>
    <mergeCell ref="C13:E13"/>
    <mergeCell ref="L7:M7"/>
    <mergeCell ref="I7:J7"/>
    <mergeCell ref="B7:H7"/>
    <mergeCell ref="G33:H33"/>
    <mergeCell ref="I33:K33"/>
    <mergeCell ref="L41:M41"/>
    <mergeCell ref="G42:H42"/>
    <mergeCell ref="I42:K42"/>
    <mergeCell ref="I41:J41"/>
    <mergeCell ref="L17:M17"/>
    <mergeCell ref="I18:K18"/>
    <mergeCell ref="I19:K19"/>
    <mergeCell ref="I17:J17"/>
    <mergeCell ref="G18:H18"/>
    <mergeCell ref="G19:H19"/>
    <mergeCell ref="G24:H24"/>
    <mergeCell ref="G25:H25"/>
    <mergeCell ref="I24:K24"/>
    <mergeCell ref="I25:K25"/>
    <mergeCell ref="C33:E33"/>
    <mergeCell ref="C34:E34"/>
    <mergeCell ref="C35:E35"/>
    <mergeCell ref="C38:E38"/>
    <mergeCell ref="C39:E39"/>
    <mergeCell ref="I9:J9"/>
    <mergeCell ref="L9:M9"/>
    <mergeCell ref="H10:K10"/>
    <mergeCell ref="C14:E14"/>
    <mergeCell ref="C15:E15"/>
    <mergeCell ref="H14:K14"/>
    <mergeCell ref="G38:H38"/>
    <mergeCell ref="I38:K38"/>
    <mergeCell ref="G39:H39"/>
    <mergeCell ref="I39:K39"/>
    <mergeCell ref="I35:K35"/>
    <mergeCell ref="G35:H35"/>
    <mergeCell ref="G36:H36"/>
    <mergeCell ref="G37:H37"/>
    <mergeCell ref="L28:M28"/>
    <mergeCell ref="G29:H29"/>
    <mergeCell ref="I29:K29"/>
    <mergeCell ref="G34:H34"/>
    <mergeCell ref="I34:K34"/>
    <mergeCell ref="C47:E47"/>
    <mergeCell ref="C48:E48"/>
    <mergeCell ref="C49:E49"/>
    <mergeCell ref="C50:E50"/>
    <mergeCell ref="C43:E43"/>
    <mergeCell ref="C44:E44"/>
    <mergeCell ref="C45:E45"/>
    <mergeCell ref="C46:E46"/>
    <mergeCell ref="C42:E42"/>
    <mergeCell ref="G45:H45"/>
    <mergeCell ref="G46:H46"/>
    <mergeCell ref="G43:H43"/>
    <mergeCell ref="I44:K44"/>
    <mergeCell ref="G49:H49"/>
    <mergeCell ref="I49:K49"/>
    <mergeCell ref="G50:H50"/>
    <mergeCell ref="I50:K50"/>
    <mergeCell ref="G47:H47"/>
    <mergeCell ref="I47:K47"/>
    <mergeCell ref="G48:H48"/>
    <mergeCell ref="I48:K48"/>
    <mergeCell ref="I45:K45"/>
    <mergeCell ref="I46:K46"/>
    <mergeCell ref="G44:H44"/>
    <mergeCell ref="I43:K43"/>
  </mergeCells>
  <conditionalFormatting sqref="K7">
    <cfRule type="cellIs" dxfId="22" priority="9" operator="greaterThan">
      <formula>0</formula>
    </cfRule>
  </conditionalFormatting>
  <conditionalFormatting sqref="K9">
    <cfRule type="cellIs" dxfId="21" priority="5" operator="greaterThan">
      <formula>0</formula>
    </cfRule>
  </conditionalFormatting>
  <conditionalFormatting sqref="K17">
    <cfRule type="cellIs" dxfId="20" priority="4" operator="greaterThan">
      <formula>0</formula>
    </cfRule>
  </conditionalFormatting>
  <conditionalFormatting sqref="K28">
    <cfRule type="cellIs" dxfId="19" priority="3" operator="greaterThan">
      <formula>0</formula>
    </cfRule>
  </conditionalFormatting>
  <conditionalFormatting sqref="K41">
    <cfRule type="cellIs" dxfId="18" priority="2" operator="greaterThan">
      <formula>0</formula>
    </cfRule>
  </conditionalFormatting>
  <pageMargins left="0.39" right="0.28999999999999998" top="0.52" bottom="0.34" header="0.3" footer="0.3"/>
  <pageSetup scale="74" fitToHeight="0" orientation="portrait" r:id="rId1"/>
  <rowBreaks count="1" manualBreakCount="1">
    <brk id="16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300-000007000000}">
          <x14:formula1>
            <xm:f>DataSet!$F$24:$F$25</xm:f>
          </x14:formula1>
          <xm:sqref>L11:L15 L19:L26 L30:L39 L43:L50</xm:sqref>
        </x14:dataValidation>
        <x14:dataValidation type="list" allowBlank="1" showInputMessage="1" showErrorMessage="1" xr:uid="{00000000-0002-0000-0300-000008000000}">
          <x14:formula1>
            <xm:f>DataSet!$F$29:$F$30</xm:f>
          </x14:formula1>
          <xm:sqref>G11:G15</xm:sqref>
        </x14:dataValidation>
        <x14:dataValidation type="list" allowBlank="1" showInputMessage="1" showErrorMessage="1" xr:uid="{00000000-0002-0000-0300-00000A000000}">
          <x14:formula1>
            <xm:f>DataSet!$F$41:$F$52</xm:f>
          </x14:formula1>
          <xm:sqref>G30:G39 H30:H35 H38:H39</xm:sqref>
        </x14:dataValidation>
        <x14:dataValidation type="list" allowBlank="1" showInputMessage="1" showErrorMessage="1" xr:uid="{00000000-0002-0000-0300-00000B000000}">
          <x14:formula1>
            <xm:f>DataSet!$F$54:$F$63</xm:f>
          </x14:formula1>
          <xm:sqref>G43:H50</xm:sqref>
        </x14:dataValidation>
        <x14:dataValidation type="list" allowBlank="1" showInputMessage="1" showErrorMessage="1" xr:uid="{00000000-0002-0000-0300-000009000000}">
          <x14:formula1>
            <xm:f>DataSet!$F$32:$F$39</xm:f>
          </x14:formula1>
          <xm:sqref>G19:H26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68CB5-4A64-4EB2-AB46-21B427B5588D}">
  <sheetPr>
    <tabColor rgb="FF92D050"/>
    <pageSetUpPr fitToPage="1"/>
  </sheetPr>
  <dimension ref="B1:S44"/>
  <sheetViews>
    <sheetView zoomScaleNormal="100" workbookViewId="0">
      <pane ySplit="7" topLeftCell="A8" activePane="bottomLeft" state="frozen"/>
      <selection pane="bottomLeft" activeCell="M11" sqref="M11"/>
    </sheetView>
  </sheetViews>
  <sheetFormatPr defaultColWidth="9" defaultRowHeight="24" x14ac:dyDescent="0.8"/>
  <cols>
    <col min="1" max="1" width="3.6640625" style="50" customWidth="1"/>
    <col min="2" max="2" width="4.1640625" style="50" customWidth="1"/>
    <col min="3" max="3" width="12.83203125" style="50" customWidth="1"/>
    <col min="4" max="4" width="3.6640625" style="126" customWidth="1"/>
    <col min="5" max="5" width="11.9140625" style="126" customWidth="1"/>
    <col min="6" max="6" width="10.9140625" style="50" customWidth="1"/>
    <col min="7" max="7" width="5.4140625" style="50" customWidth="1"/>
    <col min="8" max="8" width="14.4140625" style="50" customWidth="1"/>
    <col min="9" max="9" width="26.33203125" style="50" customWidth="1"/>
    <col min="10" max="10" width="6.83203125" style="126" customWidth="1"/>
    <col min="11" max="11" width="6" style="126" customWidth="1"/>
    <col min="12" max="12" width="9.4140625" style="124" customWidth="1"/>
    <col min="13" max="13" width="10.4140625" style="50" bestFit="1" customWidth="1"/>
    <col min="14" max="14" width="9.08203125" style="50" customWidth="1"/>
    <col min="15" max="15" width="9" style="50" customWidth="1"/>
    <col min="16" max="16" width="16" style="50" bestFit="1" customWidth="1"/>
    <col min="17" max="17" width="39.33203125" style="50" bestFit="1" customWidth="1"/>
    <col min="18" max="18" width="12.33203125" style="50" customWidth="1"/>
    <col min="19" max="19" width="9" style="126" customWidth="1"/>
    <col min="20" max="30" width="9" style="50" customWidth="1"/>
    <col min="31" max="16384" width="9" style="50"/>
  </cols>
  <sheetData>
    <row r="1" spans="2:19" ht="26.25" customHeight="1" x14ac:dyDescent="1">
      <c r="B1" s="402" t="s">
        <v>50</v>
      </c>
      <c r="C1" s="402"/>
      <c r="D1" s="402"/>
      <c r="E1" s="402"/>
      <c r="F1" s="402"/>
      <c r="G1" s="402"/>
      <c r="H1" s="402"/>
      <c r="I1" s="402"/>
      <c r="J1" s="403">
        <f>DataSet!H5</f>
        <v>2569</v>
      </c>
      <c r="K1" s="403"/>
      <c r="M1" s="125"/>
      <c r="N1" s="125"/>
    </row>
    <row r="2" spans="2:19" ht="26.25" customHeight="1" x14ac:dyDescent="0.8">
      <c r="B2" s="404" t="s">
        <v>38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</row>
    <row r="3" spans="2:19" ht="9.75" customHeight="1" thickBot="1" x14ac:dyDescent="0.85"/>
    <row r="4" spans="2:19" ht="30.5" thickBot="1" x14ac:dyDescent="1.05">
      <c r="B4" s="388" t="s">
        <v>139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90"/>
    </row>
    <row r="5" spans="2:19" ht="10.5" customHeight="1" thickBot="1" x14ac:dyDescent="1.05"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2:19" s="252" customFormat="1" ht="27.5" thickBot="1" x14ac:dyDescent="0.95">
      <c r="B6" s="405" t="s">
        <v>427</v>
      </c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7"/>
      <c r="S6" s="270"/>
    </row>
    <row r="7" spans="2:19" s="88" customFormat="1" ht="30.5" thickBot="1" x14ac:dyDescent="1.05">
      <c r="B7" s="398" t="s">
        <v>428</v>
      </c>
      <c r="C7" s="399"/>
      <c r="D7" s="399"/>
      <c r="E7" s="399"/>
      <c r="F7" s="399"/>
      <c r="G7" s="399"/>
      <c r="H7" s="399"/>
      <c r="I7" s="400" t="s">
        <v>56</v>
      </c>
      <c r="J7" s="400"/>
      <c r="K7" s="400"/>
      <c r="L7" s="265">
        <f>SUM(L9,L13)</f>
        <v>0</v>
      </c>
      <c r="M7" s="399" t="s">
        <v>218</v>
      </c>
      <c r="N7" s="401"/>
    </row>
    <row r="8" spans="2:19" s="88" customFormat="1" ht="7.5" customHeight="1" thickBot="1" x14ac:dyDescent="0.95">
      <c r="B8" s="408"/>
      <c r="C8" s="408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</row>
    <row r="9" spans="2:19" s="108" customFormat="1" x14ac:dyDescent="0.8">
      <c r="B9" s="272" t="s">
        <v>430</v>
      </c>
      <c r="C9" s="273"/>
      <c r="D9" s="273"/>
      <c r="E9" s="273"/>
      <c r="F9" s="273"/>
      <c r="G9" s="273"/>
      <c r="H9" s="273"/>
      <c r="I9" s="409" t="s">
        <v>57</v>
      </c>
      <c r="J9" s="409"/>
      <c r="K9" s="409"/>
      <c r="L9" s="274">
        <f>SUM(N11)</f>
        <v>0</v>
      </c>
      <c r="M9" s="410" t="s">
        <v>218</v>
      </c>
      <c r="N9" s="411"/>
    </row>
    <row r="10" spans="2:19" s="94" customFormat="1" ht="24.75" customHeight="1" x14ac:dyDescent="0.8">
      <c r="B10" s="129" t="s">
        <v>102</v>
      </c>
      <c r="C10" s="412" t="s">
        <v>97</v>
      </c>
      <c r="D10" s="412"/>
      <c r="E10" s="412"/>
      <c r="F10" s="412"/>
      <c r="G10" s="412"/>
      <c r="H10" s="413"/>
      <c r="I10" s="414" t="s">
        <v>131</v>
      </c>
      <c r="J10" s="415"/>
      <c r="K10" s="415"/>
      <c r="L10" s="416"/>
      <c r="M10" s="130" t="s">
        <v>62</v>
      </c>
      <c r="N10" s="131" t="s">
        <v>49</v>
      </c>
    </row>
    <row r="11" spans="2:19" s="94" customFormat="1" ht="84.5" customHeight="1" thickBot="1" x14ac:dyDescent="0.85">
      <c r="B11" s="271" t="str">
        <f>IF(C11="","",ROW()-10)</f>
        <v/>
      </c>
      <c r="C11" s="417"/>
      <c r="D11" s="418"/>
      <c r="E11" s="418"/>
      <c r="F11" s="418"/>
      <c r="G11" s="418"/>
      <c r="H11" s="419"/>
      <c r="I11" s="432" t="s">
        <v>429</v>
      </c>
      <c r="J11" s="433"/>
      <c r="K11" s="433"/>
      <c r="L11" s="434"/>
      <c r="M11" s="133"/>
      <c r="N11" s="234" t="str">
        <f>IF(C11=""," ",IF(C11&lt;&gt;0,12,0))</f>
        <v xml:space="preserve"> </v>
      </c>
    </row>
    <row r="12" spans="2:19" ht="7.5" customHeight="1" thickBot="1" x14ac:dyDescent="0.85">
      <c r="B12" s="425"/>
      <c r="C12" s="425"/>
      <c r="D12" s="425"/>
      <c r="E12" s="425"/>
      <c r="F12" s="425"/>
      <c r="G12" s="425"/>
      <c r="H12" s="425"/>
      <c r="I12" s="425"/>
      <c r="J12" s="425"/>
      <c r="K12" s="425"/>
      <c r="L12" s="425"/>
      <c r="M12" s="425"/>
      <c r="N12" s="425"/>
      <c r="O12" s="134"/>
    </row>
    <row r="13" spans="2:19" x14ac:dyDescent="0.8">
      <c r="B13" s="272" t="s">
        <v>431</v>
      </c>
      <c r="C13" s="273"/>
      <c r="D13" s="273"/>
      <c r="E13" s="273"/>
      <c r="F13" s="273"/>
      <c r="G13" s="273"/>
      <c r="H13" s="273"/>
      <c r="I13" s="409" t="s">
        <v>57</v>
      </c>
      <c r="J13" s="409"/>
      <c r="K13" s="409"/>
      <c r="L13" s="274">
        <f>IF(N11=" ",0,SUM(N15:N16))</f>
        <v>0</v>
      </c>
      <c r="M13" s="410" t="s">
        <v>218</v>
      </c>
      <c r="N13" s="411"/>
      <c r="O13" s="134"/>
    </row>
    <row r="14" spans="2:19" x14ac:dyDescent="0.8">
      <c r="B14" s="135" t="s">
        <v>102</v>
      </c>
      <c r="C14" s="426" t="s">
        <v>97</v>
      </c>
      <c r="D14" s="426"/>
      <c r="E14" s="426"/>
      <c r="F14" s="426"/>
      <c r="G14" s="426"/>
      <c r="H14" s="426"/>
      <c r="I14" s="414" t="s">
        <v>131</v>
      </c>
      <c r="J14" s="415"/>
      <c r="K14" s="415"/>
      <c r="L14" s="416"/>
      <c r="M14" s="137" t="s">
        <v>62</v>
      </c>
      <c r="N14" s="138" t="s">
        <v>49</v>
      </c>
    </row>
    <row r="15" spans="2:19" x14ac:dyDescent="0.8">
      <c r="B15" s="111" t="str">
        <f>IF(G15="","",ROW()-14)</f>
        <v/>
      </c>
      <c r="C15" s="427" t="s">
        <v>379</v>
      </c>
      <c r="D15" s="428"/>
      <c r="E15" s="428"/>
      <c r="F15" s="139" t="s">
        <v>132</v>
      </c>
      <c r="G15" s="140"/>
      <c r="H15" s="141" t="s">
        <v>99</v>
      </c>
      <c r="I15" s="429" t="s">
        <v>203</v>
      </c>
      <c r="J15" s="430"/>
      <c r="K15" s="430"/>
      <c r="L15" s="431"/>
      <c r="M15" s="142"/>
      <c r="N15" s="143" t="str">
        <f>IF(G15=0," ",IF(G15=0,0,IF(M15=DataSet!F24,0,(G15*1)/5)))</f>
        <v xml:space="preserve"> </v>
      </c>
    </row>
    <row r="16" spans="2:19" ht="24.5" customHeight="1" thickBot="1" x14ac:dyDescent="0.85">
      <c r="B16" s="132" t="str">
        <f>IF(G16="","",ROW()-14)</f>
        <v/>
      </c>
      <c r="C16" s="420" t="s">
        <v>380</v>
      </c>
      <c r="D16" s="421"/>
      <c r="E16" s="421"/>
      <c r="F16" s="144" t="s">
        <v>132</v>
      </c>
      <c r="G16" s="145"/>
      <c r="H16" s="146" t="s">
        <v>356</v>
      </c>
      <c r="I16" s="422" t="s">
        <v>357</v>
      </c>
      <c r="J16" s="423"/>
      <c r="K16" s="423"/>
      <c r="L16" s="424"/>
      <c r="M16" s="147"/>
      <c r="N16" s="148" t="str">
        <f>IF(G16="","",IF(G16&gt;0,G16*4,"Recheck"))</f>
        <v/>
      </c>
    </row>
    <row r="18" spans="3:19" s="74" customFormat="1" x14ac:dyDescent="0.8">
      <c r="D18" s="123"/>
      <c r="E18" s="123"/>
      <c r="J18" s="123"/>
      <c r="K18" s="123"/>
      <c r="L18" s="172"/>
      <c r="S18" s="123"/>
    </row>
    <row r="19" spans="3:19" s="74" customFormat="1" x14ac:dyDescent="0.8">
      <c r="G19" s="123"/>
      <c r="J19" s="123"/>
      <c r="K19" s="123"/>
      <c r="L19" s="172"/>
      <c r="S19" s="123"/>
    </row>
    <row r="20" spans="3:19" s="74" customFormat="1" ht="27" x14ac:dyDescent="0.9">
      <c r="C20" s="105"/>
      <c r="D20" s="105"/>
      <c r="F20" s="105"/>
      <c r="G20" s="173"/>
      <c r="J20" s="123"/>
      <c r="K20" s="123"/>
      <c r="L20" s="172"/>
      <c r="S20" s="123"/>
    </row>
    <row r="21" spans="3:19" s="74" customFormat="1" x14ac:dyDescent="0.8">
      <c r="J21" s="123"/>
      <c r="K21" s="123"/>
      <c r="L21" s="172"/>
      <c r="S21" s="123"/>
    </row>
    <row r="22" spans="3:19" s="74" customFormat="1" x14ac:dyDescent="0.8">
      <c r="J22" s="123"/>
      <c r="K22" s="123"/>
      <c r="L22" s="172"/>
      <c r="S22" s="123"/>
    </row>
    <row r="23" spans="3:19" s="74" customFormat="1" x14ac:dyDescent="0.8">
      <c r="J23" s="123"/>
      <c r="K23" s="123"/>
      <c r="L23" s="172"/>
      <c r="S23" s="123"/>
    </row>
    <row r="24" spans="3:19" s="74" customFormat="1" x14ac:dyDescent="0.8">
      <c r="J24" s="123"/>
      <c r="K24" s="123"/>
      <c r="L24" s="172"/>
      <c r="S24" s="123"/>
    </row>
    <row r="25" spans="3:19" s="74" customFormat="1" x14ac:dyDescent="0.8">
      <c r="J25" s="123"/>
      <c r="K25" s="123"/>
      <c r="L25" s="172"/>
      <c r="S25" s="123"/>
    </row>
    <row r="26" spans="3:19" s="74" customFormat="1" x14ac:dyDescent="0.8">
      <c r="J26" s="123"/>
      <c r="K26" s="123"/>
      <c r="L26" s="172"/>
      <c r="S26" s="123"/>
    </row>
    <row r="27" spans="3:19" s="74" customFormat="1" x14ac:dyDescent="0.8">
      <c r="J27" s="123"/>
      <c r="K27" s="123"/>
      <c r="L27" s="172"/>
      <c r="S27" s="123"/>
    </row>
    <row r="28" spans="3:19" s="74" customFormat="1" x14ac:dyDescent="0.8">
      <c r="J28" s="123"/>
      <c r="K28" s="123"/>
      <c r="L28" s="172"/>
      <c r="S28" s="123"/>
    </row>
    <row r="29" spans="3:19" s="74" customFormat="1" x14ac:dyDescent="0.8">
      <c r="J29" s="123"/>
      <c r="K29" s="123"/>
      <c r="L29" s="172"/>
      <c r="S29" s="123"/>
    </row>
    <row r="30" spans="3:19" s="74" customFormat="1" x14ac:dyDescent="0.8">
      <c r="J30" s="123"/>
      <c r="K30" s="123"/>
      <c r="L30" s="172"/>
      <c r="S30" s="123"/>
    </row>
    <row r="31" spans="3:19" s="74" customFormat="1" x14ac:dyDescent="0.8">
      <c r="J31" s="123"/>
      <c r="K31" s="123"/>
      <c r="L31" s="172"/>
      <c r="S31" s="123"/>
    </row>
    <row r="32" spans="3:19" s="74" customFormat="1" x14ac:dyDescent="0.8">
      <c r="J32" s="123"/>
      <c r="K32" s="123"/>
      <c r="L32" s="172"/>
      <c r="S32" s="123"/>
    </row>
    <row r="33" spans="4:19" s="74" customFormat="1" x14ac:dyDescent="0.8">
      <c r="J33" s="123"/>
      <c r="K33" s="123"/>
      <c r="L33" s="172"/>
      <c r="S33" s="123"/>
    </row>
    <row r="34" spans="4:19" s="74" customFormat="1" x14ac:dyDescent="0.8">
      <c r="J34" s="123"/>
      <c r="K34" s="123"/>
      <c r="L34" s="172"/>
      <c r="S34" s="123"/>
    </row>
    <row r="35" spans="4:19" s="74" customFormat="1" x14ac:dyDescent="0.8">
      <c r="J35" s="123"/>
      <c r="K35" s="123"/>
      <c r="L35" s="172"/>
      <c r="S35" s="123"/>
    </row>
    <row r="36" spans="4:19" s="74" customFormat="1" x14ac:dyDescent="0.8">
      <c r="J36" s="123"/>
      <c r="K36" s="123"/>
      <c r="L36" s="172"/>
      <c r="S36" s="123"/>
    </row>
    <row r="37" spans="4:19" s="74" customFormat="1" x14ac:dyDescent="0.8">
      <c r="J37" s="123"/>
      <c r="K37" s="123"/>
      <c r="L37" s="172"/>
      <c r="S37" s="123"/>
    </row>
    <row r="38" spans="4:19" s="74" customFormat="1" x14ac:dyDescent="0.8">
      <c r="J38" s="123"/>
      <c r="K38" s="123"/>
      <c r="L38" s="172"/>
      <c r="S38" s="123"/>
    </row>
    <row r="39" spans="4:19" s="74" customFormat="1" x14ac:dyDescent="0.8">
      <c r="J39" s="123"/>
      <c r="K39" s="123"/>
      <c r="L39" s="172"/>
      <c r="S39" s="123"/>
    </row>
    <row r="40" spans="4:19" s="74" customFormat="1" x14ac:dyDescent="0.8">
      <c r="J40" s="123"/>
      <c r="K40" s="123"/>
      <c r="L40" s="172"/>
      <c r="S40" s="123"/>
    </row>
    <row r="41" spans="4:19" s="74" customFormat="1" x14ac:dyDescent="0.8">
      <c r="J41" s="123"/>
      <c r="K41" s="123"/>
      <c r="L41" s="172"/>
      <c r="S41" s="123"/>
    </row>
    <row r="42" spans="4:19" s="74" customFormat="1" x14ac:dyDescent="0.8">
      <c r="D42" s="123"/>
      <c r="E42" s="123"/>
      <c r="J42" s="123"/>
      <c r="K42" s="123"/>
      <c r="L42" s="172"/>
      <c r="S42" s="123"/>
    </row>
    <row r="43" spans="4:19" s="74" customFormat="1" x14ac:dyDescent="0.8">
      <c r="D43" s="123"/>
      <c r="E43" s="123"/>
      <c r="J43" s="123"/>
      <c r="K43" s="123"/>
      <c r="L43" s="172"/>
      <c r="S43" s="123"/>
    </row>
    <row r="44" spans="4:19" s="74" customFormat="1" x14ac:dyDescent="0.8">
      <c r="D44" s="123"/>
      <c r="E44" s="123"/>
      <c r="J44" s="123"/>
      <c r="K44" s="123"/>
      <c r="L44" s="172"/>
      <c r="S44" s="123"/>
    </row>
  </sheetData>
  <sheetProtection sheet="1" selectLockedCells="1"/>
  <mergeCells count="24">
    <mergeCell ref="C11:H11"/>
    <mergeCell ref="C16:E16"/>
    <mergeCell ref="I16:L16"/>
    <mergeCell ref="B12:N12"/>
    <mergeCell ref="I13:K13"/>
    <mergeCell ref="M13:N13"/>
    <mergeCell ref="C14:H14"/>
    <mergeCell ref="I14:L14"/>
    <mergeCell ref="C15:E15"/>
    <mergeCell ref="I15:L15"/>
    <mergeCell ref="I11:L11"/>
    <mergeCell ref="B8:N8"/>
    <mergeCell ref="I9:K9"/>
    <mergeCell ref="M9:N9"/>
    <mergeCell ref="C10:H10"/>
    <mergeCell ref="I10:L10"/>
    <mergeCell ref="B7:H7"/>
    <mergeCell ref="I7:K7"/>
    <mergeCell ref="M7:N7"/>
    <mergeCell ref="B1:I1"/>
    <mergeCell ref="J1:K1"/>
    <mergeCell ref="B2:N2"/>
    <mergeCell ref="B4:N4"/>
    <mergeCell ref="B6:N6"/>
  </mergeCells>
  <conditionalFormatting sqref="L7">
    <cfRule type="cellIs" dxfId="17" priority="5" operator="greaterThan">
      <formula>0</formula>
    </cfRule>
  </conditionalFormatting>
  <conditionalFormatting sqref="L9">
    <cfRule type="cellIs" dxfId="16" priority="4" operator="greaterThan">
      <formula>0</formula>
    </cfRule>
  </conditionalFormatting>
  <conditionalFormatting sqref="L13">
    <cfRule type="cellIs" dxfId="15" priority="3" operator="greaterThan">
      <formula>0</formula>
    </cfRule>
  </conditionalFormatting>
  <dataValidations count="1">
    <dataValidation type="list" allowBlank="1" showInputMessage="1" showErrorMessage="1" sqref="M15:M16" xr:uid="{C391651E-75EF-4B8A-B9DF-465C3C46D656}">
      <formula1>#REF!</formula1>
    </dataValidation>
  </dataValidations>
  <pageMargins left="0.39" right="0.28999999999999998" top="0.52" bottom="0.34" header="0.3" footer="0.3"/>
  <pageSetup scale="71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1E8C06-CF97-4AD4-ABC2-6A9F0D10538F}">
          <x14:formula1>
            <xm:f>DataSet!$F$24:$F$25</xm:f>
          </x14:formula1>
          <xm:sqref>M11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B1:T72"/>
  <sheetViews>
    <sheetView zoomScaleNormal="100" workbookViewId="0">
      <pane ySplit="7" topLeftCell="A8" activePane="bottomLeft" state="frozen"/>
      <selection pane="bottomLeft" activeCell="C12" sqref="C12:H12"/>
    </sheetView>
  </sheetViews>
  <sheetFormatPr defaultColWidth="9" defaultRowHeight="24" x14ac:dyDescent="0.8"/>
  <cols>
    <col min="1" max="1" width="3.6640625" style="50" customWidth="1"/>
    <col min="2" max="2" width="4.1640625" style="50" customWidth="1"/>
    <col min="3" max="3" width="12.83203125" style="50" customWidth="1"/>
    <col min="4" max="4" width="3.6640625" style="126" customWidth="1"/>
    <col min="5" max="5" width="11.9140625" style="126" customWidth="1"/>
    <col min="6" max="6" width="10.9140625" style="50" customWidth="1"/>
    <col min="7" max="7" width="5.4140625" style="50" customWidth="1"/>
    <col min="8" max="8" width="14.4140625" style="50" customWidth="1"/>
    <col min="9" max="9" width="26.33203125" style="50" customWidth="1"/>
    <col min="10" max="10" width="6.83203125" style="126" customWidth="1"/>
    <col min="11" max="11" width="6" style="126" customWidth="1"/>
    <col min="12" max="12" width="9.4140625" style="124" customWidth="1"/>
    <col min="13" max="13" width="10.4140625" style="50" bestFit="1" customWidth="1"/>
    <col min="14" max="14" width="9.08203125" style="50" customWidth="1"/>
    <col min="15" max="15" width="9" style="50" customWidth="1"/>
    <col min="16" max="16" width="16" style="50" bestFit="1" customWidth="1"/>
    <col min="17" max="17" width="39.33203125" style="50" bestFit="1" customWidth="1"/>
    <col min="18" max="18" width="12.33203125" style="50" customWidth="1"/>
    <col min="19" max="19" width="9" style="126" customWidth="1"/>
    <col min="20" max="30" width="9" style="50" customWidth="1"/>
    <col min="31" max="16384" width="9" style="50"/>
  </cols>
  <sheetData>
    <row r="1" spans="2:20" ht="26.25" customHeight="1" x14ac:dyDescent="1">
      <c r="B1" s="402" t="s">
        <v>50</v>
      </c>
      <c r="C1" s="402"/>
      <c r="D1" s="402"/>
      <c r="E1" s="402"/>
      <c r="F1" s="402"/>
      <c r="G1" s="402"/>
      <c r="H1" s="402"/>
      <c r="I1" s="402"/>
      <c r="J1" s="403">
        <f>DataSet!H5</f>
        <v>2569</v>
      </c>
      <c r="K1" s="403"/>
      <c r="M1" s="125"/>
      <c r="N1" s="125"/>
    </row>
    <row r="2" spans="2:20" ht="26.25" customHeight="1" x14ac:dyDescent="0.8">
      <c r="B2" s="404" t="s">
        <v>38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</row>
    <row r="3" spans="2:20" ht="9.75" customHeight="1" thickBot="1" x14ac:dyDescent="0.85"/>
    <row r="4" spans="2:20" ht="30.5" thickBot="1" x14ac:dyDescent="1.05">
      <c r="B4" s="388" t="s">
        <v>139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90"/>
    </row>
    <row r="5" spans="2:20" ht="10.5" customHeight="1" thickBot="1" x14ac:dyDescent="1.05"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2:20" s="252" customFormat="1" ht="30.5" thickBot="1" x14ac:dyDescent="1.05">
      <c r="B6" s="441" t="s">
        <v>432</v>
      </c>
      <c r="C6" s="442"/>
      <c r="D6" s="442"/>
      <c r="E6" s="442"/>
      <c r="F6" s="442"/>
      <c r="G6" s="442"/>
      <c r="H6" s="442"/>
      <c r="I6" s="442"/>
      <c r="J6" s="442"/>
      <c r="K6" s="442"/>
      <c r="L6" s="442"/>
      <c r="M6" s="442"/>
      <c r="N6" s="443"/>
      <c r="S6" s="270"/>
    </row>
    <row r="7" spans="2:20" s="88" customFormat="1" ht="30.5" thickBot="1" x14ac:dyDescent="1.05">
      <c r="B7" s="398" t="s">
        <v>433</v>
      </c>
      <c r="C7" s="399"/>
      <c r="D7" s="399"/>
      <c r="E7" s="399"/>
      <c r="F7" s="399"/>
      <c r="G7" s="399"/>
      <c r="H7" s="399"/>
      <c r="I7" s="400" t="s">
        <v>56</v>
      </c>
      <c r="J7" s="400"/>
      <c r="K7" s="400"/>
      <c r="L7" s="265">
        <f>SUM(L10,L33,L46)</f>
        <v>0</v>
      </c>
      <c r="M7" s="399" t="s">
        <v>218</v>
      </c>
      <c r="N7" s="401"/>
    </row>
    <row r="8" spans="2:20" s="88" customFormat="1" ht="7.5" customHeight="1" thickBot="1" x14ac:dyDescent="0.95">
      <c r="B8" s="408"/>
      <c r="C8" s="408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</row>
    <row r="9" spans="2:20" ht="7.5" customHeight="1" thickBot="1" x14ac:dyDescent="0.85">
      <c r="B9" s="444"/>
      <c r="C9" s="444"/>
      <c r="D9" s="444"/>
      <c r="E9" s="444"/>
      <c r="F9" s="444"/>
      <c r="G9" s="444"/>
      <c r="H9" s="444"/>
      <c r="I9" s="444"/>
      <c r="J9" s="444"/>
      <c r="K9" s="444"/>
      <c r="L9" s="444"/>
      <c r="M9" s="444"/>
      <c r="N9" s="444"/>
    </row>
    <row r="10" spans="2:20" x14ac:dyDescent="0.8">
      <c r="B10" s="438" t="s">
        <v>434</v>
      </c>
      <c r="C10" s="410"/>
      <c r="D10" s="410"/>
      <c r="E10" s="410"/>
      <c r="F10" s="410"/>
      <c r="G10" s="410"/>
      <c r="H10" s="410"/>
      <c r="I10" s="410"/>
      <c r="J10" s="439" t="s">
        <v>57</v>
      </c>
      <c r="K10" s="439"/>
      <c r="L10" s="274">
        <f>SUM(N12:N31)</f>
        <v>0</v>
      </c>
      <c r="M10" s="410" t="s">
        <v>218</v>
      </c>
      <c r="N10" s="411"/>
    </row>
    <row r="11" spans="2:20" x14ac:dyDescent="0.8">
      <c r="B11" s="135" t="s">
        <v>102</v>
      </c>
      <c r="C11" s="426" t="s">
        <v>97</v>
      </c>
      <c r="D11" s="426"/>
      <c r="E11" s="426"/>
      <c r="F11" s="426"/>
      <c r="G11" s="426"/>
      <c r="H11" s="426"/>
      <c r="I11" s="136" t="s">
        <v>51</v>
      </c>
      <c r="J11" s="414" t="s">
        <v>100</v>
      </c>
      <c r="K11" s="415"/>
      <c r="L11" s="413"/>
      <c r="M11" s="137" t="s">
        <v>62</v>
      </c>
      <c r="N11" s="138" t="s">
        <v>49</v>
      </c>
      <c r="P11" s="108" t="s">
        <v>101</v>
      </c>
      <c r="Q11" s="108" t="s">
        <v>51</v>
      </c>
      <c r="R11" s="94" t="s">
        <v>43</v>
      </c>
      <c r="S11" s="94" t="s">
        <v>364</v>
      </c>
    </row>
    <row r="12" spans="2:20" x14ac:dyDescent="0.8">
      <c r="B12" s="149" t="str">
        <f>IF(C12="","",ROW()-11)</f>
        <v/>
      </c>
      <c r="C12" s="440"/>
      <c r="D12" s="435"/>
      <c r="E12" s="435"/>
      <c r="F12" s="435"/>
      <c r="G12" s="435"/>
      <c r="H12" s="435"/>
      <c r="I12" s="150"/>
      <c r="J12" s="151" t="str">
        <f>IF(I12="","",VLOOKUP(I12,DataSet!$F$77:$O$92,9,))</f>
        <v/>
      </c>
      <c r="K12" s="152"/>
      <c r="L12" s="153" t="str">
        <f>IF(I12="","",VLOOKUP(I12,DataSet!$F$77:$O$92,10,))</f>
        <v/>
      </c>
      <c r="M12" s="154"/>
      <c r="N12" s="155" t="str">
        <f>IF(C12=0," ",IF(M12=DataSet!$F$25,0,IF(I12=DataSet!$F$77,((K12*DataSet!$H$77)),IF(I12=DataSet!$F$78,(K12*DataSet!$H$78),IF(I12=DataSet!$F$79,(K12*DataSet!$H$79),IF(I12=DataSet!$F$80,(K12*DataSet!H77/15),IF(I12=DataSet!$F$81,((K12*DataSet!$H$81)),IF(I12=DataSet!$F$82,((K12*DataSet!$H$82)),IF(I12=DataSet!$F$83,((K12*DataSet!$H$83)),IF(I12=DataSet!$F$84,((K12*DataSet!$H$84)),IF(I12=DataSet!$F$85,((K12*DataSet!$H$85)),IF(I12=DataSet!$F$86,((K12*DataSet!$H$86)),0))))))))))))</f>
        <v xml:space="preserve"> </v>
      </c>
      <c r="O12" s="156"/>
      <c r="Q12" s="50" t="s">
        <v>365</v>
      </c>
      <c r="R12" s="126">
        <v>1</v>
      </c>
      <c r="S12" s="126" t="s">
        <v>370</v>
      </c>
      <c r="T12" s="50" t="s">
        <v>361</v>
      </c>
    </row>
    <row r="13" spans="2:20" x14ac:dyDescent="0.8">
      <c r="B13" s="149" t="str">
        <f t="shared" ref="B13:B31" si="0">IF(C13="","",ROW()-11)</f>
        <v/>
      </c>
      <c r="C13" s="435"/>
      <c r="D13" s="435"/>
      <c r="E13" s="435"/>
      <c r="F13" s="435"/>
      <c r="G13" s="435"/>
      <c r="H13" s="435"/>
      <c r="I13" s="150"/>
      <c r="J13" s="151" t="str">
        <f>IF(I13="","",VLOOKUP(I13,DataSet!$F$77:$O$92,9,))</f>
        <v/>
      </c>
      <c r="K13" s="140"/>
      <c r="L13" s="153" t="str">
        <f>IF(I13="","",VLOOKUP(I13,DataSet!$F$77:$O$92,10,))</f>
        <v/>
      </c>
      <c r="M13" s="142"/>
      <c r="N13" s="155" t="str">
        <f>IF(C13=0," ",IF(M13=DataSet!$F$25,0,IF(I13=DataSet!$F$77,((K13*DataSet!$H$77)),IF(I13=DataSet!$F$78,(K13*DataSet!$H$78),IF(I13=DataSet!$F$79,(K13*DataSet!$H$79),IF(I13=DataSet!$F$80,(K13*DataSet!$H$80/15),IF(I13=DataSet!$F$81,((K13*DataSet!$H$81)),IF(I13=DataSet!$F$82,((K13*DataSet!$H$82)),IF(I13=DataSet!$F$83,((K13*DataSet!$H$83)),IF(I13=DataSet!$F$84,((K13*DataSet!$H$84)),IF(I13=DataSet!$F$85,((K13*DataSet!$H$85)),IF(I13=DataSet!$F$86,((K13*DataSet!$H$86)),0))))))))))))</f>
        <v xml:space="preserve"> </v>
      </c>
      <c r="Q13" s="50" t="s">
        <v>366</v>
      </c>
      <c r="R13" s="126">
        <v>1</v>
      </c>
      <c r="S13" s="126" t="s">
        <v>370</v>
      </c>
      <c r="T13" s="50" t="s">
        <v>361</v>
      </c>
    </row>
    <row r="14" spans="2:20" x14ac:dyDescent="0.8">
      <c r="B14" s="149" t="str">
        <f t="shared" si="0"/>
        <v/>
      </c>
      <c r="C14" s="435"/>
      <c r="D14" s="435"/>
      <c r="E14" s="435"/>
      <c r="F14" s="435"/>
      <c r="G14" s="435"/>
      <c r="H14" s="435"/>
      <c r="I14" s="150"/>
      <c r="J14" s="151" t="str">
        <f>IF(I14="","",VLOOKUP(I14,DataSet!$F$77:$O$92,9,))</f>
        <v/>
      </c>
      <c r="K14" s="152"/>
      <c r="L14" s="153" t="str">
        <f>IF(I14="","",VLOOKUP(I14,DataSet!$F$77:$O$92,10,))</f>
        <v/>
      </c>
      <c r="M14" s="142"/>
      <c r="N14" s="155" t="str">
        <f>IF(C14=0," ",IF(M14=DataSet!$F$25,0,IF(I14=DataSet!$F$77,((K14*DataSet!$H$77)),IF(I14=DataSet!$F$78,(K14*DataSet!$H$78),IF(I14=DataSet!$F$79,(K14*DataSet!$H$79),IF(I14=DataSet!$F$80,(K14*DataSet!$H$80/15),IF(I14=DataSet!$F$81,((K14*DataSet!$H$81)),IF(I14=DataSet!$F$82,((K14*DataSet!$H$82)),IF(I14=DataSet!$F$83,((K14*DataSet!$H$83)),IF(I14=DataSet!$F$84,((K14*DataSet!$H$84)),IF(I14=DataSet!$F$85,((K14*DataSet!$H$85)),IF(I14=DataSet!$F$86,((K14*DataSet!$H$86)),0))))))))))))</f>
        <v xml:space="preserve"> </v>
      </c>
      <c r="Q14" s="50" t="s">
        <v>362</v>
      </c>
      <c r="R14" s="126">
        <v>0.5</v>
      </c>
      <c r="S14" s="126" t="s">
        <v>369</v>
      </c>
      <c r="T14" s="50" t="s">
        <v>360</v>
      </c>
    </row>
    <row r="15" spans="2:20" x14ac:dyDescent="0.8">
      <c r="B15" s="149" t="str">
        <f t="shared" si="0"/>
        <v/>
      </c>
      <c r="C15" s="435"/>
      <c r="D15" s="435"/>
      <c r="E15" s="435"/>
      <c r="F15" s="435"/>
      <c r="G15" s="435"/>
      <c r="H15" s="435"/>
      <c r="I15" s="150"/>
      <c r="J15" s="151" t="str">
        <f>IF(I15="","",VLOOKUP(I15,DataSet!$F$77:$O$92,9,))</f>
        <v/>
      </c>
      <c r="K15" s="140"/>
      <c r="L15" s="153" t="str">
        <f>IF(I15="","",VLOOKUP(I15,DataSet!$F$77:$O$92,10,))</f>
        <v/>
      </c>
      <c r="M15" s="142"/>
      <c r="N15" s="155" t="str">
        <f>IF(C15=0," ",IF(M15=DataSet!$F$25,0,IF(I15=DataSet!$F$77,((K15*DataSet!$H$77)),IF(I15=DataSet!$F$78,(K15*DataSet!$H$78),IF(I15=DataSet!$F$79,(K15*DataSet!$H$79),IF(I15=DataSet!$F$80,(K15*DataSet!$H$80/15),IF(I15=DataSet!$F$81,((K15*DataSet!$H$81)),IF(I15=DataSet!$F$82,((K15*DataSet!$H$82)),IF(I15=DataSet!$F$83,((K15*DataSet!$H$83)),IF(I15=DataSet!$F$84,((K15*DataSet!$H$84)),IF(I15=DataSet!$F$85,((K15*DataSet!$H$85)),IF(I15=DataSet!$F$86,((K15*DataSet!$H$86)),0))))))))))))</f>
        <v xml:space="preserve"> </v>
      </c>
      <c r="Q15" s="50" t="s">
        <v>358</v>
      </c>
      <c r="R15" s="126">
        <v>0.5</v>
      </c>
      <c r="S15" s="126" t="s">
        <v>369</v>
      </c>
      <c r="T15" s="50" t="s">
        <v>359</v>
      </c>
    </row>
    <row r="16" spans="2:20" x14ac:dyDescent="0.8">
      <c r="B16" s="149" t="str">
        <f t="shared" si="0"/>
        <v/>
      </c>
      <c r="C16" s="435"/>
      <c r="D16" s="435"/>
      <c r="E16" s="435"/>
      <c r="F16" s="435"/>
      <c r="G16" s="435"/>
      <c r="H16" s="435"/>
      <c r="I16" s="150"/>
      <c r="J16" s="151" t="str">
        <f>IF(I16="","",VLOOKUP(I16,DataSet!$F$77:$O$92,9,))</f>
        <v/>
      </c>
      <c r="K16" s="140"/>
      <c r="L16" s="153" t="str">
        <f>IF(I16="","",VLOOKUP(I16,DataSet!$F$77:$O$92,10,))</f>
        <v/>
      </c>
      <c r="M16" s="142"/>
      <c r="N16" s="155" t="str">
        <f>IF(C16=0," ",IF(M16=DataSet!$F$25,0,IF(I16=DataSet!$F$77,((K16*DataSet!$H$77)),IF(I16=DataSet!$F$78,(K16*DataSet!$H$78),IF(I16=DataSet!$F$79,(K16*DataSet!$H$79),IF(I16=DataSet!$F$80,(K16*DataSet!$H$80/15),IF(I16=DataSet!$F$81,((K16*DataSet!$H$81)),IF(I16=DataSet!$F$82,((K16*DataSet!$H$82)),IF(I16=DataSet!$F$83,((K16*DataSet!$H$83)),IF(I16=DataSet!$F$84,((K16*DataSet!$H$84)),IF(I16=DataSet!$F$85,((K16*DataSet!$H$85)),IF(I16=DataSet!$F$86,((K16*DataSet!$H$86)),0))))))))))))</f>
        <v xml:space="preserve"> </v>
      </c>
      <c r="Q16" s="50" t="s">
        <v>252</v>
      </c>
      <c r="R16" s="126">
        <v>3</v>
      </c>
    </row>
    <row r="17" spans="2:18" x14ac:dyDescent="0.8">
      <c r="B17" s="149" t="str">
        <f t="shared" si="0"/>
        <v/>
      </c>
      <c r="C17" s="435"/>
      <c r="D17" s="435"/>
      <c r="E17" s="435"/>
      <c r="F17" s="435"/>
      <c r="G17" s="435"/>
      <c r="H17" s="435"/>
      <c r="I17" s="150"/>
      <c r="J17" s="151" t="str">
        <f>IF(I17="","",VLOOKUP(I17,DataSet!$F$77:$O$92,9,))</f>
        <v/>
      </c>
      <c r="K17" s="140"/>
      <c r="L17" s="153" t="str">
        <f>IF(I17="","",VLOOKUP(I17,DataSet!$F$77:$O$92,10,))</f>
        <v/>
      </c>
      <c r="M17" s="142"/>
      <c r="N17" s="155" t="str">
        <f>IF(C17=0," ",IF(M17=DataSet!$F$25,0,IF(I17=DataSet!$F$77,((K17*DataSet!$H$77)),IF(I17=DataSet!$F$78,(K17*DataSet!$H$78),IF(I17=DataSet!$F$79,(K17*DataSet!$H$79),IF(I17=DataSet!$F$80,(K17*DataSet!$H$80/15),IF(I17=DataSet!$F$81,((K17*DataSet!$H$81)),IF(I17=DataSet!$F$82,((K17*DataSet!$H$82)),IF(I17=DataSet!$F$83,((K17*DataSet!$H$83)),IF(I17=DataSet!$F$84,((K17*DataSet!$H$84)),IF(I17=DataSet!$F$85,((K17*DataSet!$H$85)),IF(I17=DataSet!$F$86,((K17*DataSet!$H$86)),0))))))))))))</f>
        <v xml:space="preserve"> </v>
      </c>
      <c r="Q17" s="50" t="s">
        <v>253</v>
      </c>
      <c r="R17" s="126">
        <v>2</v>
      </c>
    </row>
    <row r="18" spans="2:18" x14ac:dyDescent="0.8">
      <c r="B18" s="149" t="str">
        <f t="shared" si="0"/>
        <v/>
      </c>
      <c r="C18" s="435"/>
      <c r="D18" s="435"/>
      <c r="E18" s="435"/>
      <c r="F18" s="435"/>
      <c r="G18" s="435"/>
      <c r="H18" s="435"/>
      <c r="I18" s="150"/>
      <c r="J18" s="151" t="str">
        <f>IF(I18="","",VLOOKUP(I18,DataSet!$F$77:$O$92,9,))</f>
        <v/>
      </c>
      <c r="K18" s="152"/>
      <c r="L18" s="153" t="str">
        <f>IF(I18="","",VLOOKUP(I18,DataSet!$F$77:$O$92,10,))</f>
        <v/>
      </c>
      <c r="M18" s="142"/>
      <c r="N18" s="155" t="str">
        <f>IF(C18=0," ",IF(M18=DataSet!$F$25,0,IF(I18=DataSet!$F$77,((K18*DataSet!$H$77)),IF(I18=DataSet!$F$78,(K18*DataSet!$H$78),IF(I18=DataSet!$F$79,(K18*DataSet!$H$79),IF(I18=DataSet!$F$80,(K18*DataSet!$H$80/15),IF(I18=DataSet!$F$81,((K18*DataSet!$H$81)),IF(I18=DataSet!$F$82,((K18*DataSet!$H$82)),IF(I18=DataSet!$F$83,((K18*DataSet!$H$83)),IF(I18=DataSet!$F$84,((K18*DataSet!$H$84)),IF(I18=DataSet!$F$85,((K18*DataSet!$H$85)),IF(I18=DataSet!$F$86,((K18*DataSet!$H$86)),0))))))))))))</f>
        <v xml:space="preserve"> </v>
      </c>
      <c r="Q18" s="50" t="s">
        <v>254</v>
      </c>
      <c r="R18" s="126">
        <v>1</v>
      </c>
    </row>
    <row r="19" spans="2:18" x14ac:dyDescent="0.8">
      <c r="B19" s="149" t="str">
        <f t="shared" si="0"/>
        <v/>
      </c>
      <c r="C19" s="435"/>
      <c r="D19" s="435"/>
      <c r="E19" s="435"/>
      <c r="F19" s="435"/>
      <c r="G19" s="435"/>
      <c r="H19" s="435"/>
      <c r="I19" s="150"/>
      <c r="J19" s="151" t="str">
        <f>IF(I19="","",VLOOKUP(I19,DataSet!$F$77:$O$92,9,))</f>
        <v/>
      </c>
      <c r="K19" s="140"/>
      <c r="L19" s="153" t="str">
        <f>IF(I19="","",VLOOKUP(I19,DataSet!$F$77:$O$92,10,))</f>
        <v/>
      </c>
      <c r="M19" s="142"/>
      <c r="N19" s="155" t="str">
        <f>IF(C19=0," ",IF(M19=DataSet!$F$25,0,IF(I19=DataSet!$F$77,((K19*DataSet!$H$77)),IF(I19=DataSet!$F$78,(K19*DataSet!$H$78),IF(I19=DataSet!$F$79,(K19*DataSet!$H$79),IF(I19=DataSet!$F$80,(K19*DataSet!$H$80/15),IF(I19=DataSet!$F$81,((K19*DataSet!$H$81)),IF(I19=DataSet!$F$82,((K19*DataSet!$H$82)),IF(I19=DataSet!$F$83,((K19*DataSet!$H$83)),IF(I19=DataSet!$F$84,((K19*DataSet!$H$84)),IF(I19=DataSet!$F$85,((K19*DataSet!$H$85)),IF(I19=DataSet!$F$86,((K19*DataSet!$H$86)),0))))))))))))</f>
        <v xml:space="preserve"> </v>
      </c>
      <c r="Q19" s="50" t="s">
        <v>251</v>
      </c>
      <c r="R19" s="126">
        <v>3</v>
      </c>
    </row>
    <row r="20" spans="2:18" x14ac:dyDescent="0.8">
      <c r="B20" s="149" t="str">
        <f t="shared" si="0"/>
        <v/>
      </c>
      <c r="C20" s="435"/>
      <c r="D20" s="435"/>
      <c r="E20" s="435"/>
      <c r="F20" s="435"/>
      <c r="G20" s="435"/>
      <c r="H20" s="435"/>
      <c r="I20" s="150"/>
      <c r="J20" s="151" t="str">
        <f>IF(I20="","",VLOOKUP(I20,DataSet!$F$77:$O$92,9,))</f>
        <v/>
      </c>
      <c r="K20" s="140"/>
      <c r="L20" s="153" t="str">
        <f>IF(I20="","",VLOOKUP(I20,DataSet!$F$77:$O$92,10,))</f>
        <v/>
      </c>
      <c r="M20" s="142"/>
      <c r="N20" s="155" t="str">
        <f>IF(C20=0," ",IF(M20=DataSet!$F$25,0,IF(I20=DataSet!$F$77,((K20*DataSet!$H$77)),IF(I20=DataSet!$F$78,(K20*DataSet!$H$78),IF(I20=DataSet!$F$79,(K20*DataSet!$H$79),IF(I20=DataSet!$F$80,(K20*DataSet!$H$80/15),IF(I20=DataSet!$F$81,((K20*DataSet!$H$81)),IF(I20=DataSet!$F$82,((K20*DataSet!$H$82)),IF(I20=DataSet!$F$83,((K20*DataSet!$H$83)),IF(I20=DataSet!$F$84,((K20*DataSet!$H$84)),IF(I20=DataSet!$F$85,((K20*DataSet!$H$85)),IF(I20=DataSet!$F$86,((K20*DataSet!$H$86)),0))))))))))))</f>
        <v xml:space="preserve"> </v>
      </c>
      <c r="Q20" s="50" t="s">
        <v>368</v>
      </c>
      <c r="R20" s="126">
        <v>2</v>
      </c>
    </row>
    <row r="21" spans="2:18" x14ac:dyDescent="0.8">
      <c r="B21" s="149" t="str">
        <f t="shared" si="0"/>
        <v/>
      </c>
      <c r="C21" s="435"/>
      <c r="D21" s="435"/>
      <c r="E21" s="435"/>
      <c r="F21" s="435"/>
      <c r="G21" s="435"/>
      <c r="H21" s="435"/>
      <c r="I21" s="150"/>
      <c r="J21" s="151" t="str">
        <f>IF(I21="","",VLOOKUP(I21,DataSet!$F$77:$O$92,9,))</f>
        <v/>
      </c>
      <c r="K21" s="152"/>
      <c r="L21" s="153" t="str">
        <f>IF(I21="","",VLOOKUP(I21,DataSet!$F$77:$O$92,10,))</f>
        <v/>
      </c>
      <c r="M21" s="142"/>
      <c r="N21" s="155" t="str">
        <f>IF(C21=0," ",IF(M21=DataSet!$F$25,0,IF(I21=DataSet!$F$77,((K21*DataSet!$H$77)),IF(I21=DataSet!$F$78,(K21*DataSet!$H$78),IF(I21=DataSet!$F$79,(K21*DataSet!$H$79),IF(I21=DataSet!$F$80,(K21*DataSet!$H$80/15),IF(I21=DataSet!$F$81,((K21*DataSet!$H$81)),IF(I21=DataSet!$F$82,((K21*DataSet!$H$82)),IF(I21=DataSet!$F$83,((K21*DataSet!$H$83)),IF(I21=DataSet!$F$84,((K21*DataSet!$H$84)),IF(I21=DataSet!$F$85,((K21*DataSet!$H$85)),IF(I21=DataSet!$F$86,((K21*DataSet!$H$86)),0))))))))))))</f>
        <v xml:space="preserve"> </v>
      </c>
      <c r="Q21" s="50" t="s">
        <v>367</v>
      </c>
      <c r="R21" s="126">
        <v>1</v>
      </c>
    </row>
    <row r="22" spans="2:18" x14ac:dyDescent="0.8">
      <c r="B22" s="149" t="str">
        <f t="shared" si="0"/>
        <v/>
      </c>
      <c r="C22" s="435"/>
      <c r="D22" s="435"/>
      <c r="E22" s="435"/>
      <c r="F22" s="435"/>
      <c r="G22" s="435"/>
      <c r="H22" s="435"/>
      <c r="I22" s="150"/>
      <c r="J22" s="151" t="str">
        <f>IF(I22="","",VLOOKUP(I22,DataSet!$F$77:$O$92,9,))</f>
        <v/>
      </c>
      <c r="K22" s="152"/>
      <c r="L22" s="153" t="str">
        <f>IF(I22="","",VLOOKUP(I22,DataSet!$F$77:$O$92,10,))</f>
        <v/>
      </c>
      <c r="M22" s="142"/>
      <c r="N22" s="155" t="str">
        <f>IF(C22=0," ",IF(M22=DataSet!$F$25,0,IF(I22=DataSet!$F$77,((K22*DataSet!$H$77)),IF(I22=DataSet!$F$78,(K22*DataSet!$H$78),IF(I22=DataSet!$F$79,(K22*DataSet!$H$79),IF(I22=DataSet!$F$80,(K22*DataSet!$H$80/15),IF(I22=DataSet!$F$81,((K22*DataSet!$H$81)),IF(I22=DataSet!$F$82,((K22*DataSet!$H$82)),IF(I22=DataSet!$F$83,((K22*DataSet!$H$83)),IF(I22=DataSet!$F$84,((K22*DataSet!$H$84)),IF(I22=DataSet!$F$85,((K22*DataSet!$H$85)),IF(I22=DataSet!$F$86,((K22*DataSet!$H$86)),0))))))))))))</f>
        <v xml:space="preserve"> </v>
      </c>
      <c r="Q22" s="50" t="s">
        <v>106</v>
      </c>
      <c r="R22" s="126">
        <v>4</v>
      </c>
    </row>
    <row r="23" spans="2:18" x14ac:dyDescent="0.8">
      <c r="B23" s="149" t="str">
        <f t="shared" si="0"/>
        <v/>
      </c>
      <c r="C23" s="435"/>
      <c r="D23" s="435"/>
      <c r="E23" s="435"/>
      <c r="F23" s="435"/>
      <c r="G23" s="435"/>
      <c r="H23" s="435"/>
      <c r="I23" s="150"/>
      <c r="J23" s="151" t="str">
        <f>IF(I23="","",VLOOKUP(I23,DataSet!$F$77:$O$92,9,))</f>
        <v/>
      </c>
      <c r="K23" s="152"/>
      <c r="L23" s="153" t="str">
        <f>IF(I23="","",VLOOKUP(I23,DataSet!$F$77:$O$92,10,))</f>
        <v/>
      </c>
      <c r="M23" s="142"/>
      <c r="N23" s="155" t="str">
        <f>IF(C23=0," ",IF(M23=DataSet!$F$25,0,IF(I23=DataSet!$F$77,((K23*DataSet!$H$77)),IF(I23=DataSet!$F$78,(K23*DataSet!$H$78),IF(I23=DataSet!$F$79,(K23*DataSet!$H$79),IF(I23=DataSet!$F$80,(K23*DataSet!$H$80/15),IF(I23=DataSet!$F$81,((K23*DataSet!$H$81)),IF(I23=DataSet!$F$82,((K23*DataSet!$H$82)),IF(I23=DataSet!$F$83,((K23*DataSet!$H$83)),IF(I23=DataSet!$F$84,((K23*DataSet!$H$84)),IF(I23=DataSet!$F$85,((K23*DataSet!$H$85)),IF(I23=DataSet!$F$86,((K23*DataSet!$H$86)),0))))))))))))</f>
        <v xml:space="preserve"> </v>
      </c>
      <c r="Q23" s="50" t="s">
        <v>108</v>
      </c>
      <c r="R23" s="126">
        <v>3</v>
      </c>
    </row>
    <row r="24" spans="2:18" x14ac:dyDescent="0.8">
      <c r="B24" s="149" t="str">
        <f t="shared" si="0"/>
        <v/>
      </c>
      <c r="C24" s="435"/>
      <c r="D24" s="435"/>
      <c r="E24" s="435"/>
      <c r="F24" s="435"/>
      <c r="G24" s="435"/>
      <c r="H24" s="435"/>
      <c r="I24" s="150"/>
      <c r="J24" s="151" t="str">
        <f>IF(I24="","",VLOOKUP(I24,DataSet!$F$77:$O$92,9,))</f>
        <v/>
      </c>
      <c r="K24" s="152"/>
      <c r="L24" s="153" t="str">
        <f>IF(I24="","",VLOOKUP(I24,DataSet!$F$77:$O$92,10,))</f>
        <v/>
      </c>
      <c r="M24" s="142"/>
      <c r="N24" s="155" t="str">
        <f>IF(C24=0," ",IF(M24=DataSet!$F$25,0,IF(I24=DataSet!$F$77,((K24*DataSet!$H$77)),IF(I24=DataSet!$F$78,(K24*DataSet!$H$78),IF(I24=DataSet!$F$79,(K24*DataSet!$H$79),IF(I24=DataSet!$F$80,(K24*DataSet!$H$80/15),IF(I24=DataSet!$F$81,((K24*DataSet!$H$81)),IF(I24=DataSet!$F$82,((K24*DataSet!$H$82)),IF(I24=DataSet!$F$83,((K24*DataSet!$H$83)),IF(I24=DataSet!$F$84,((K24*DataSet!$H$84)),IF(I24=DataSet!$F$85,((K24*DataSet!$H$85)),IF(I24=DataSet!$F$86,((K24*DataSet!$H$86)),0))))))))))))</f>
        <v xml:space="preserve"> </v>
      </c>
      <c r="Q24" s="50" t="s">
        <v>109</v>
      </c>
      <c r="R24" s="126">
        <v>3</v>
      </c>
    </row>
    <row r="25" spans="2:18" x14ac:dyDescent="0.8">
      <c r="B25" s="149" t="str">
        <f t="shared" si="0"/>
        <v/>
      </c>
      <c r="C25" s="435"/>
      <c r="D25" s="435"/>
      <c r="E25" s="435"/>
      <c r="F25" s="435"/>
      <c r="G25" s="435"/>
      <c r="H25" s="435"/>
      <c r="I25" s="150"/>
      <c r="J25" s="151" t="str">
        <f>IF(I25="","",VLOOKUP(I25,DataSet!$F$77:$O$92,9,))</f>
        <v/>
      </c>
      <c r="K25" s="152"/>
      <c r="L25" s="153" t="str">
        <f>IF(I25="","",VLOOKUP(I25,DataSet!$F$77:$O$92,10,))</f>
        <v/>
      </c>
      <c r="M25" s="142"/>
      <c r="N25" s="155" t="str">
        <f>IF(C25=0," ",IF(M25=DataSet!$F$25,0,IF(I25=DataSet!$F$77,((K25*DataSet!$H$77)),IF(I25=DataSet!$F$78,(K25*DataSet!$H$78),IF(I25=DataSet!$F$79,(K25*DataSet!$H$79),IF(I25=DataSet!$F$80,(K25*DataSet!$H$80/15),IF(I25=DataSet!$F$81,((K25*DataSet!$H$81)),IF(I25=DataSet!$F$82,((K25*DataSet!$H$82)),IF(I25=DataSet!$F$83,((K25*DataSet!$H$83)),IF(I25=DataSet!$F$84,((K25*DataSet!$H$84)),IF(I25=DataSet!$F$85,((K25*DataSet!$H$85)),IF(I25=DataSet!$F$86,((K25*DataSet!$H$86)),0))))))))))))</f>
        <v xml:space="preserve"> </v>
      </c>
      <c r="Q25" s="50" t="s">
        <v>110</v>
      </c>
      <c r="R25" s="126">
        <v>1</v>
      </c>
    </row>
    <row r="26" spans="2:18" x14ac:dyDescent="0.8">
      <c r="B26" s="149" t="str">
        <f t="shared" si="0"/>
        <v/>
      </c>
      <c r="C26" s="435"/>
      <c r="D26" s="435"/>
      <c r="E26" s="435"/>
      <c r="F26" s="435"/>
      <c r="G26" s="435"/>
      <c r="H26" s="435"/>
      <c r="I26" s="150"/>
      <c r="J26" s="151" t="str">
        <f>IF(I26="","",VLOOKUP(I26,DataSet!$F$77:$O$92,9,))</f>
        <v/>
      </c>
      <c r="K26" s="152"/>
      <c r="L26" s="153" t="str">
        <f>IF(I26="","",VLOOKUP(I26,DataSet!$F$77:$O$92,10,))</f>
        <v/>
      </c>
      <c r="M26" s="142"/>
      <c r="N26" s="155" t="str">
        <f>IF(C26=0," ",IF(M26=DataSet!$F$25,0,IF(I26=DataSet!$F$77,((K26*DataSet!$H$77)),IF(I26=DataSet!$F$78,(K26*DataSet!$H$78),IF(I26=DataSet!$F$79,(K26*DataSet!$H$79),IF(I26=DataSet!$F$80,(K26*DataSet!$H$80/15),IF(I26=DataSet!$F$81,((K26*DataSet!$H$81)),IF(I26=DataSet!$F$82,((K26*DataSet!$H$82)),IF(I26=DataSet!$F$83,((K26*DataSet!$H$83)),IF(I26=DataSet!$F$84,((K26*DataSet!$H$84)),IF(I26=DataSet!$F$85,((K26*DataSet!$H$85)),IF(I26=DataSet!$F$86,((K26*DataSet!$H$86)),0))))))))))))</f>
        <v xml:space="preserve"> </v>
      </c>
      <c r="Q26" s="50" t="s">
        <v>247</v>
      </c>
      <c r="R26" s="126">
        <v>3</v>
      </c>
    </row>
    <row r="27" spans="2:18" x14ac:dyDescent="0.8">
      <c r="B27" s="149" t="str">
        <f t="shared" si="0"/>
        <v/>
      </c>
      <c r="C27" s="435"/>
      <c r="D27" s="435"/>
      <c r="E27" s="435"/>
      <c r="F27" s="435"/>
      <c r="G27" s="435"/>
      <c r="H27" s="435"/>
      <c r="I27" s="150"/>
      <c r="J27" s="151" t="str">
        <f>IF(I27="","",VLOOKUP(I27,DataSet!$F$77:$O$92,9,))</f>
        <v/>
      </c>
      <c r="K27" s="152"/>
      <c r="L27" s="153" t="str">
        <f>IF(I27="","",VLOOKUP(I27,DataSet!$F$77:$O$92,10,))</f>
        <v/>
      </c>
      <c r="M27" s="142"/>
      <c r="N27" s="155" t="str">
        <f>IF(C27=0," ",IF(M27=DataSet!$F$25,0,IF(I27=DataSet!$F$77,((K27*DataSet!$H$77)),IF(I27=DataSet!$F$78,(K27*DataSet!$H$78),IF(I27=DataSet!$F$79,(K27*DataSet!$H$79),IF(I27=DataSet!$F$80,(K27*DataSet!$H$80/15),IF(I27=DataSet!$F$81,((K27*DataSet!$H$81)),IF(I27=DataSet!$F$82,((K27*DataSet!$H$82)),IF(I27=DataSet!$F$83,((K27*DataSet!$H$83)),IF(I27=DataSet!$F$84,((K27*DataSet!$H$84)),IF(I27=DataSet!$F$85,((K27*DataSet!$H$85)),IF(I27=DataSet!$F$86,((K27*DataSet!$H$86)),0))))))))))))</f>
        <v xml:space="preserve"> </v>
      </c>
    </row>
    <row r="28" spans="2:18" x14ac:dyDescent="0.8">
      <c r="B28" s="149" t="str">
        <f t="shared" si="0"/>
        <v/>
      </c>
      <c r="C28" s="435"/>
      <c r="D28" s="435"/>
      <c r="E28" s="435"/>
      <c r="F28" s="435"/>
      <c r="G28" s="435"/>
      <c r="H28" s="435"/>
      <c r="I28" s="150"/>
      <c r="J28" s="151" t="str">
        <f>IF(I28="","",VLOOKUP(I28,DataSet!$F$77:$O$92,9,))</f>
        <v/>
      </c>
      <c r="K28" s="152"/>
      <c r="L28" s="153" t="str">
        <f>IF(I28="","",VLOOKUP(I28,DataSet!$F$77:$O$92,10,))</f>
        <v/>
      </c>
      <c r="M28" s="142"/>
      <c r="N28" s="155" t="str">
        <f>IF(C28=0," ",IF(M28=DataSet!$F$25,0,IF(I28=DataSet!$F$77,((K28*DataSet!$H$77)),IF(I28=DataSet!$F$78,(K28*DataSet!$H$78),IF(I28=DataSet!$F$79,(K28*DataSet!$H$79),IF(I28=DataSet!$F$80,(K28*DataSet!$H$80/15),IF(I28=DataSet!$F$81,((K28*DataSet!$H$81)),IF(I28=DataSet!$F$82,((K28*DataSet!$H$82)),IF(I28=DataSet!$F$83,((K28*DataSet!$H$83)),IF(I28=DataSet!$F$84,((K28*DataSet!$H$84)),IF(I28=DataSet!$F$85,((K28*DataSet!$H$85)),IF(I28=DataSet!$F$86,((K28*DataSet!$H$86)),0))))))))))))</f>
        <v xml:space="preserve"> </v>
      </c>
    </row>
    <row r="29" spans="2:18" ht="24" customHeight="1" x14ac:dyDescent="0.8">
      <c r="B29" s="149" t="str">
        <f t="shared" si="0"/>
        <v/>
      </c>
      <c r="C29" s="435"/>
      <c r="D29" s="435"/>
      <c r="E29" s="435"/>
      <c r="F29" s="435"/>
      <c r="G29" s="435"/>
      <c r="H29" s="435"/>
      <c r="I29" s="150"/>
      <c r="J29" s="151" t="str">
        <f>IF(I29="","",VLOOKUP(I29,DataSet!$F$77:$O$92,9,))</f>
        <v/>
      </c>
      <c r="K29" s="152"/>
      <c r="L29" s="153" t="str">
        <f>IF(I29="","",VLOOKUP(I29,DataSet!$F$77:$O$92,10,))</f>
        <v/>
      </c>
      <c r="M29" s="142"/>
      <c r="N29" s="155" t="str">
        <f>IF(C29=0," ",IF(M29=DataSet!$F$25,0,IF(I29=DataSet!$F$77,((K29*DataSet!$H$77)),IF(I29=DataSet!$F$78,(K29*DataSet!$H$78),IF(I29=DataSet!$F$79,(K29*DataSet!$H$79),IF(I29=DataSet!$F$80,(K29*DataSet!$H$80/15),IF(I29=DataSet!$F$81,((K29*DataSet!$H$81)),IF(I29=DataSet!$F$82,((K29*DataSet!$H$82)),IF(I29=DataSet!$F$83,((K29*DataSet!$H$83)),IF(I29=DataSet!$F$84,((K29*DataSet!$H$84)),IF(I29=DataSet!$F$85,((K29*DataSet!$H$85)),IF(I29=DataSet!$F$86,((K29*DataSet!$H$86)),0))))))))))))</f>
        <v xml:space="preserve"> </v>
      </c>
    </row>
    <row r="30" spans="2:18" x14ac:dyDescent="0.8">
      <c r="B30" s="149" t="str">
        <f t="shared" si="0"/>
        <v/>
      </c>
      <c r="C30" s="435"/>
      <c r="D30" s="435"/>
      <c r="E30" s="435"/>
      <c r="F30" s="435"/>
      <c r="G30" s="435"/>
      <c r="H30" s="435"/>
      <c r="I30" s="150"/>
      <c r="J30" s="151" t="str">
        <f>IF(I30="","",VLOOKUP(I30,DataSet!$F$77:$O$92,9,))</f>
        <v/>
      </c>
      <c r="K30" s="152"/>
      <c r="L30" s="153" t="str">
        <f>IF(I30="","",VLOOKUP(I30,DataSet!$F$77:$O$92,10,))</f>
        <v/>
      </c>
      <c r="M30" s="142"/>
      <c r="N30" s="155" t="str">
        <f>IF(C30=0," ",IF(M30=DataSet!$F$25,0,IF(I30=DataSet!$F$77,((K30*DataSet!$H$77)),IF(I30=DataSet!$F$78,(K30*DataSet!$H$78),IF(I30=DataSet!$F$79,(K30*DataSet!$H$79),IF(I30=DataSet!$F$80,(K30*DataSet!$H$80/15),IF(I30=DataSet!$F$81,((K30*DataSet!$H$81)),IF(I30=DataSet!$F$82,((K30*DataSet!$H$82)),IF(I30=DataSet!$F$83,((K30*DataSet!$H$83)),IF(I30=DataSet!$F$84,((K30*DataSet!$H$84)),IF(I30=DataSet!$F$85,((K30*DataSet!$H$85)),IF(I30=DataSet!$F$86,((K30*DataSet!$H$86)),0))))))))))))</f>
        <v xml:space="preserve"> </v>
      </c>
    </row>
    <row r="31" spans="2:18" ht="24.5" thickBot="1" x14ac:dyDescent="0.85">
      <c r="B31" s="157" t="str">
        <f t="shared" si="0"/>
        <v/>
      </c>
      <c r="C31" s="436"/>
      <c r="D31" s="436"/>
      <c r="E31" s="436"/>
      <c r="F31" s="436"/>
      <c r="G31" s="436"/>
      <c r="H31" s="436"/>
      <c r="I31" s="158"/>
      <c r="J31" s="159" t="str">
        <f>IF(I31="","",VLOOKUP(I31,DataSet!$F$77:$O$92,9,))</f>
        <v/>
      </c>
      <c r="K31" s="160"/>
      <c r="L31" s="161" t="str">
        <f>IF(I31="","",VLOOKUP(I31,DataSet!$F$77:$O$92,10,))</f>
        <v/>
      </c>
      <c r="M31" s="162"/>
      <c r="N31" s="148" t="str">
        <f>IF(C31=0," ",IF(M31=DataSet!$F$25,0,IF(I31=DataSet!$F$77,((K31*DataSet!$H$77)),IF(I31=DataSet!$F$78,(K31*DataSet!$H$78),IF(I31=DataSet!$F$79,(K31*DataSet!$H$79),IF(I31=DataSet!$F$80,(K31*DataSet!$H$80/15),IF(I31=DataSet!$F$81,((K31*DataSet!$H$81)),IF(I31=DataSet!$F$82,((K31*DataSet!$H$82)),IF(I31=DataSet!$F$83,((K31*DataSet!$H$83)),IF(I31=DataSet!$F$84,((K31*DataSet!$H$84)),IF(I31=DataSet!$F$85,((K31*DataSet!$H$85)),IF(I31=DataSet!$F$86,((K31*DataSet!$H$86)),0))))))))))))</f>
        <v xml:space="preserve"> </v>
      </c>
    </row>
    <row r="32" spans="2:18" ht="7.5" customHeight="1" thickBot="1" x14ac:dyDescent="0.85">
      <c r="B32" s="163"/>
      <c r="C32" s="163"/>
      <c r="E32" s="164"/>
      <c r="F32" s="164"/>
      <c r="G32" s="164"/>
      <c r="H32" s="164"/>
      <c r="I32" s="165"/>
      <c r="K32" s="166"/>
      <c r="M32" s="126"/>
      <c r="N32" s="167"/>
    </row>
    <row r="33" spans="2:19" x14ac:dyDescent="0.8">
      <c r="B33" s="438" t="s">
        <v>436</v>
      </c>
      <c r="C33" s="410"/>
      <c r="D33" s="410"/>
      <c r="E33" s="410"/>
      <c r="F33" s="410"/>
      <c r="G33" s="410"/>
      <c r="H33" s="410"/>
      <c r="I33" s="410"/>
      <c r="J33" s="439" t="s">
        <v>57</v>
      </c>
      <c r="K33" s="439"/>
      <c r="L33" s="274">
        <f>SUM(N35:N44)</f>
        <v>0</v>
      </c>
      <c r="M33" s="410" t="s">
        <v>218</v>
      </c>
      <c r="N33" s="411"/>
    </row>
    <row r="34" spans="2:19" x14ac:dyDescent="0.8">
      <c r="B34" s="168" t="s">
        <v>102</v>
      </c>
      <c r="C34" s="437" t="s">
        <v>97</v>
      </c>
      <c r="D34" s="437"/>
      <c r="E34" s="437"/>
      <c r="F34" s="437"/>
      <c r="G34" s="437"/>
      <c r="H34" s="437"/>
      <c r="I34" s="136" t="s">
        <v>51</v>
      </c>
      <c r="J34" s="414" t="s">
        <v>100</v>
      </c>
      <c r="K34" s="415"/>
      <c r="L34" s="416"/>
      <c r="M34" s="137" t="s">
        <v>62</v>
      </c>
      <c r="N34" s="138" t="s">
        <v>49</v>
      </c>
    </row>
    <row r="35" spans="2:19" ht="24" customHeight="1" x14ac:dyDescent="0.8">
      <c r="B35" s="149" t="str">
        <f>IF(C35="","",ROW()-34)</f>
        <v/>
      </c>
      <c r="C35" s="435"/>
      <c r="D35" s="435"/>
      <c r="E35" s="435"/>
      <c r="F35" s="435"/>
      <c r="G35" s="435"/>
      <c r="H35" s="435"/>
      <c r="I35" s="150"/>
      <c r="J35" s="151" t="str">
        <f>IF(I35="","",VLOOKUP(I35,DataSet!$F$77:$O$92,9,))</f>
        <v/>
      </c>
      <c r="K35" s="275"/>
      <c r="L35" s="153" t="str">
        <f>IF(I35="","",VLOOKUP(I35,DataSet!$F$77:$O$92,10,))</f>
        <v/>
      </c>
      <c r="M35" s="169"/>
      <c r="N35" s="155" t="str">
        <f>IF(C35="","",IF(M35=DataSet!$F$25,0,IF(I35=DataSet!$F$84,K35*DataSet!$H$84,IF(I35=DataSet!$F$85,K35*DataSet!$H$85,IF(I35=DataSet!$F$86,K35*DataSet!$H$86,0)))))</f>
        <v/>
      </c>
    </row>
    <row r="36" spans="2:19" x14ac:dyDescent="0.8">
      <c r="B36" s="149" t="str">
        <f t="shared" ref="B36:B44" si="1">IF(C36="","",ROW()-34)</f>
        <v/>
      </c>
      <c r="C36" s="435"/>
      <c r="D36" s="435"/>
      <c r="E36" s="435"/>
      <c r="F36" s="435"/>
      <c r="G36" s="435"/>
      <c r="H36" s="435"/>
      <c r="I36" s="150"/>
      <c r="J36" s="151" t="str">
        <f>IF(I36="","",VLOOKUP(I36,DataSet!$F$77:$O$92,9,))</f>
        <v/>
      </c>
      <c r="K36" s="276"/>
      <c r="L36" s="153" t="str">
        <f>IF(I36="","",VLOOKUP(I36,DataSet!$F$77:$O$92,10,))</f>
        <v/>
      </c>
      <c r="M36" s="170"/>
      <c r="N36" s="155" t="str">
        <f>IF(C36="","",IF(M36=DataSet!$F$25,0,IF(I36=DataSet!$F$84,K36*DataSet!$H$84,IF(I36=DataSet!$F$85,K36*DataSet!$H$85,IF(I36=DataSet!$F$86,K36*DataSet!$H$86,0)))))</f>
        <v/>
      </c>
    </row>
    <row r="37" spans="2:19" x14ac:dyDescent="0.8">
      <c r="B37" s="149" t="str">
        <f t="shared" si="1"/>
        <v/>
      </c>
      <c r="C37" s="435"/>
      <c r="D37" s="435"/>
      <c r="E37" s="435"/>
      <c r="F37" s="435"/>
      <c r="G37" s="435"/>
      <c r="H37" s="435"/>
      <c r="I37" s="150"/>
      <c r="J37" s="151" t="str">
        <f>IF(I37="","",VLOOKUP(I37,DataSet!$F$77:$O$92,9,))</f>
        <v/>
      </c>
      <c r="K37" s="276"/>
      <c r="L37" s="153" t="str">
        <f>IF(I37="","",VLOOKUP(I37,DataSet!$F$77:$O$92,10,))</f>
        <v/>
      </c>
      <c r="M37" s="170"/>
      <c r="N37" s="155" t="str">
        <f>IF(C37="","",IF(M37=DataSet!$F$25,0,IF(I37=DataSet!$F$84,K37*DataSet!$H$84,IF(I37=DataSet!$F$85,K37*DataSet!$H$85,IF(I37=DataSet!$F$86,K37*DataSet!$H$86,0)))))</f>
        <v/>
      </c>
    </row>
    <row r="38" spans="2:19" x14ac:dyDescent="0.8">
      <c r="B38" s="149" t="str">
        <f t="shared" si="1"/>
        <v/>
      </c>
      <c r="C38" s="435"/>
      <c r="D38" s="435"/>
      <c r="E38" s="435"/>
      <c r="F38" s="435"/>
      <c r="G38" s="435"/>
      <c r="H38" s="435"/>
      <c r="I38" s="150"/>
      <c r="J38" s="151" t="str">
        <f>IF(I38="","",VLOOKUP(I38,DataSet!$F$77:$O$92,9,))</f>
        <v/>
      </c>
      <c r="K38" s="276"/>
      <c r="L38" s="153" t="str">
        <f>IF(I38="","",VLOOKUP(I38,DataSet!$F$77:$O$92,10,))</f>
        <v/>
      </c>
      <c r="M38" s="170"/>
      <c r="N38" s="155" t="str">
        <f>IF(C38="","",IF(M38=DataSet!$F$25,0,IF(I38=DataSet!$F$84,K38*DataSet!$H$84,IF(I38=DataSet!$F$85,K38*DataSet!$H$85,IF(I38=DataSet!$F$86,K38*DataSet!$H$86,0)))))</f>
        <v/>
      </c>
    </row>
    <row r="39" spans="2:19" x14ac:dyDescent="0.8">
      <c r="B39" s="149" t="str">
        <f t="shared" si="1"/>
        <v/>
      </c>
      <c r="C39" s="435"/>
      <c r="D39" s="435"/>
      <c r="E39" s="435"/>
      <c r="F39" s="435"/>
      <c r="G39" s="435"/>
      <c r="H39" s="435"/>
      <c r="I39" s="150"/>
      <c r="J39" s="151" t="str">
        <f>IF(I39="","",VLOOKUP(I39,DataSet!$F$77:$O$92,9,))</f>
        <v/>
      </c>
      <c r="K39" s="276"/>
      <c r="L39" s="153" t="str">
        <f>IF(I39="","",VLOOKUP(I39,DataSet!$F$77:$O$92,10,))</f>
        <v/>
      </c>
      <c r="M39" s="170"/>
      <c r="N39" s="155" t="str">
        <f>IF(C39="","",IF(M39=DataSet!$F$25,0,IF(I39=DataSet!$F$84,K39*DataSet!$H$84,IF(I39=DataSet!$F$85,K39*DataSet!$H$85,IF(I39=DataSet!$F$86,K39*DataSet!$H$86,0)))))</f>
        <v/>
      </c>
    </row>
    <row r="40" spans="2:19" x14ac:dyDescent="0.8">
      <c r="B40" s="149" t="str">
        <f t="shared" si="1"/>
        <v/>
      </c>
      <c r="C40" s="435"/>
      <c r="D40" s="435"/>
      <c r="E40" s="435"/>
      <c r="F40" s="435"/>
      <c r="G40" s="435"/>
      <c r="H40" s="435"/>
      <c r="I40" s="150"/>
      <c r="J40" s="151" t="str">
        <f>IF(I40="","",VLOOKUP(I40,DataSet!$F$77:$O$92,9,))</f>
        <v/>
      </c>
      <c r="K40" s="276"/>
      <c r="L40" s="153" t="str">
        <f>IF(I40="","",VLOOKUP(I40,DataSet!$F$77:$O$92,10,))</f>
        <v/>
      </c>
      <c r="M40" s="170"/>
      <c r="N40" s="155" t="str">
        <f>IF(C40="","",IF(M40=DataSet!$F$25,0,IF(I40=DataSet!$F$84,K40*DataSet!$H$84,IF(I40=DataSet!$F$85,K40*DataSet!$H$85,IF(I40=DataSet!$F$86,K40*DataSet!$H$86,0)))))</f>
        <v/>
      </c>
    </row>
    <row r="41" spans="2:19" x14ac:dyDescent="0.8">
      <c r="B41" s="149" t="str">
        <f t="shared" si="1"/>
        <v/>
      </c>
      <c r="C41" s="435"/>
      <c r="D41" s="435"/>
      <c r="E41" s="435"/>
      <c r="F41" s="435"/>
      <c r="G41" s="435"/>
      <c r="H41" s="435"/>
      <c r="I41" s="150"/>
      <c r="J41" s="151" t="str">
        <f>IF(I41="","",VLOOKUP(I41,DataSet!$F$77:$O$92,9,))</f>
        <v/>
      </c>
      <c r="K41" s="276"/>
      <c r="L41" s="153" t="str">
        <f>IF(I41="","",VLOOKUP(I41,DataSet!$F$77:$O$92,10,))</f>
        <v/>
      </c>
      <c r="M41" s="170"/>
      <c r="N41" s="155" t="str">
        <f>IF(C41="","",IF(M41=DataSet!$F$25,0,IF(I41=DataSet!$F$84,K41*DataSet!$H$84,IF(I41=DataSet!$F$85,K41*DataSet!$H$85,IF(I41=DataSet!$F$86,K41*DataSet!$H$86,0)))))</f>
        <v/>
      </c>
    </row>
    <row r="42" spans="2:19" x14ac:dyDescent="0.8">
      <c r="B42" s="149" t="str">
        <f t="shared" si="1"/>
        <v/>
      </c>
      <c r="C42" s="435"/>
      <c r="D42" s="435"/>
      <c r="E42" s="435"/>
      <c r="F42" s="435"/>
      <c r="G42" s="435"/>
      <c r="H42" s="435"/>
      <c r="I42" s="150"/>
      <c r="J42" s="151" t="str">
        <f>IF(I42="","",VLOOKUP(I42,DataSet!$F$77:$O$92,9,))</f>
        <v/>
      </c>
      <c r="K42" s="276"/>
      <c r="L42" s="153" t="str">
        <f>IF(I42="","",VLOOKUP(I42,DataSet!$F$77:$O$92,10,))</f>
        <v/>
      </c>
      <c r="M42" s="170"/>
      <c r="N42" s="155" t="str">
        <f>IF(C42="","",IF(M42=DataSet!$F$25,0,IF(I42=DataSet!$F$84,K42*DataSet!$H$84,IF(I42=DataSet!$F$85,K42*DataSet!$H$85,IF(I42=DataSet!$F$86,K42*DataSet!$H$86,0)))))</f>
        <v/>
      </c>
    </row>
    <row r="43" spans="2:19" x14ac:dyDescent="0.8">
      <c r="B43" s="149" t="str">
        <f t="shared" si="1"/>
        <v/>
      </c>
      <c r="C43" s="435"/>
      <c r="D43" s="435"/>
      <c r="E43" s="435"/>
      <c r="F43" s="435"/>
      <c r="G43" s="435"/>
      <c r="H43" s="435"/>
      <c r="I43" s="150"/>
      <c r="J43" s="151" t="str">
        <f>IF(I43="","",VLOOKUP(I43,DataSet!$F$77:$O$92,9,))</f>
        <v/>
      </c>
      <c r="K43" s="276"/>
      <c r="L43" s="153" t="str">
        <f>IF(I43="","",VLOOKUP(I43,DataSet!$F$77:$O$92,10,))</f>
        <v/>
      </c>
      <c r="M43" s="170"/>
      <c r="N43" s="155" t="str">
        <f>IF(C43="","",IF(M43=DataSet!$F$25,0,IF(I43=DataSet!$F$84,K43*DataSet!$H$84,IF(I43=DataSet!$F$85,K43*DataSet!$H$85,IF(I43=DataSet!$F$86,K43*DataSet!$H$86,0)))))</f>
        <v/>
      </c>
    </row>
    <row r="44" spans="2:19" ht="24.5" thickBot="1" x14ac:dyDescent="0.85">
      <c r="B44" s="157" t="str">
        <f t="shared" si="1"/>
        <v/>
      </c>
      <c r="C44" s="436"/>
      <c r="D44" s="436"/>
      <c r="E44" s="436"/>
      <c r="F44" s="436"/>
      <c r="G44" s="436"/>
      <c r="H44" s="436"/>
      <c r="I44" s="158"/>
      <c r="J44" s="159" t="str">
        <f>IF(I44="","",VLOOKUP(I44,DataSet!$F$77:$O$92,9,))</f>
        <v/>
      </c>
      <c r="K44" s="278"/>
      <c r="L44" s="161" t="str">
        <f>IF(I44="","",VLOOKUP(I44,DataSet!$F$77:$O$92,10,))</f>
        <v/>
      </c>
      <c r="M44" s="171"/>
      <c r="N44" s="148" t="str">
        <f>IF(C44="","",IF(M44=DataSet!$F$25,0,IF(I44=DataSet!$F$84,K44*DataSet!$H$84,IF(I44=DataSet!$F$85,K44*DataSet!$H$85,IF(I44=DataSet!$F$86,K44*DataSet!$H$86,0)))))</f>
        <v/>
      </c>
    </row>
    <row r="45" spans="2:19" ht="7" customHeight="1" thickBot="1" x14ac:dyDescent="0.85"/>
    <row r="46" spans="2:19" s="74" customFormat="1" x14ac:dyDescent="0.8">
      <c r="B46" s="438" t="s">
        <v>435</v>
      </c>
      <c r="C46" s="410"/>
      <c r="D46" s="410"/>
      <c r="E46" s="410"/>
      <c r="F46" s="410"/>
      <c r="G46" s="410"/>
      <c r="H46" s="410"/>
      <c r="I46" s="410"/>
      <c r="J46" s="439" t="s">
        <v>57</v>
      </c>
      <c r="K46" s="439"/>
      <c r="L46" s="274">
        <f>SUM(N48:N57)</f>
        <v>0</v>
      </c>
      <c r="M46" s="410" t="s">
        <v>218</v>
      </c>
      <c r="N46" s="411"/>
      <c r="S46" s="123"/>
    </row>
    <row r="47" spans="2:19" s="74" customFormat="1" x14ac:dyDescent="0.8">
      <c r="B47" s="168" t="s">
        <v>102</v>
      </c>
      <c r="C47" s="437" t="s">
        <v>97</v>
      </c>
      <c r="D47" s="437"/>
      <c r="E47" s="437"/>
      <c r="F47" s="437"/>
      <c r="G47" s="437"/>
      <c r="H47" s="437"/>
      <c r="I47" s="136" t="s">
        <v>51</v>
      </c>
      <c r="J47" s="414" t="s">
        <v>100</v>
      </c>
      <c r="K47" s="415"/>
      <c r="L47" s="416"/>
      <c r="M47" s="137" t="s">
        <v>62</v>
      </c>
      <c r="N47" s="138" t="s">
        <v>49</v>
      </c>
      <c r="S47" s="123"/>
    </row>
    <row r="48" spans="2:19" s="74" customFormat="1" x14ac:dyDescent="0.8">
      <c r="B48" s="149" t="str">
        <f>IF(C48="","",ROW()-47)</f>
        <v/>
      </c>
      <c r="C48" s="435"/>
      <c r="D48" s="435"/>
      <c r="E48" s="435"/>
      <c r="F48" s="435"/>
      <c r="G48" s="435"/>
      <c r="H48" s="435"/>
      <c r="I48" s="150"/>
      <c r="J48" s="151" t="str">
        <f>IF(I48="","",VLOOKUP(I48,DataSet!$F$77:$O$92,9,))</f>
        <v/>
      </c>
      <c r="K48" s="276"/>
      <c r="L48" s="153" t="str">
        <f>IF(I48="","",VLOOKUP(I48,DataSet!$F$77:$O$92,10,))</f>
        <v/>
      </c>
      <c r="M48" s="169"/>
      <c r="N48" s="155" t="str">
        <f>IF(C48=0," ",IF(M48=DataSet!$F$25,0,IF(I48=DataSet!$F$88,K48*DataSet!$H$88,IF(I48=DataSet!$F$89,K48*DataSet!$H$89,IF(I48=DataSet!$F$90,K48*DataSet!$H$90,IF(I48=DataSet!$F$91,K48*DataSet!$H$91,IF(I48=DataSet!$F$92,K48*DataSet!$H$92,0)))))))</f>
        <v xml:space="preserve"> </v>
      </c>
      <c r="S48" s="123"/>
    </row>
    <row r="49" spans="2:19" s="74" customFormat="1" x14ac:dyDescent="0.8">
      <c r="B49" s="149" t="str">
        <f t="shared" ref="B49:B57" si="2">IF(C49="","",ROW()-47)</f>
        <v/>
      </c>
      <c r="C49" s="435"/>
      <c r="D49" s="435"/>
      <c r="E49" s="435"/>
      <c r="F49" s="435"/>
      <c r="G49" s="435"/>
      <c r="H49" s="435"/>
      <c r="I49" s="150"/>
      <c r="J49" s="151" t="str">
        <f>IF(I49="","",VLOOKUP(I49,DataSet!$F$77:$O$92,9,))</f>
        <v/>
      </c>
      <c r="K49" s="276"/>
      <c r="L49" s="153" t="str">
        <f>IF(I49="","",VLOOKUP(I49,DataSet!$F$77:$O$92,10,))</f>
        <v/>
      </c>
      <c r="M49" s="170"/>
      <c r="N49" s="155" t="str">
        <f>IF(C49=0," ",IF(M49=DataSet!$F$25,0,IF(I49=DataSet!$F$88,K49*DataSet!$H$88,IF(I49=DataSet!$F$89,K49*DataSet!$H$89,IF(I49=DataSet!$F$90,K49*DataSet!$H$90,IF(I49=DataSet!$F$91,K49*DataSet!$H$91,IF(I49=DataSet!$F$92,K49*DataSet!$H$92,0)))))))</f>
        <v xml:space="preserve"> </v>
      </c>
      <c r="S49" s="123"/>
    </row>
    <row r="50" spans="2:19" s="74" customFormat="1" x14ac:dyDescent="0.8">
      <c r="B50" s="149" t="str">
        <f t="shared" si="2"/>
        <v/>
      </c>
      <c r="C50" s="435"/>
      <c r="D50" s="435"/>
      <c r="E50" s="435"/>
      <c r="F50" s="435"/>
      <c r="G50" s="435"/>
      <c r="H50" s="435"/>
      <c r="I50" s="150"/>
      <c r="J50" s="151" t="str">
        <f>IF(I50="","",VLOOKUP(I50,DataSet!$F$77:$O$92,9,))</f>
        <v/>
      </c>
      <c r="K50" s="276"/>
      <c r="L50" s="153" t="str">
        <f>IF(I50="","",VLOOKUP(I50,DataSet!$F$77:$O$92,10,))</f>
        <v/>
      </c>
      <c r="M50" s="170"/>
      <c r="N50" s="155" t="str">
        <f>IF(C50=0," ",IF(M50=DataSet!$F$25,0,IF(I50=DataSet!$F$88,K50*DataSet!$H$88,IF(I50=DataSet!$F$89,K50*DataSet!$H$89,IF(I50=DataSet!$F$90,K50*DataSet!$H$90,IF(I50=DataSet!$F$91,K50*DataSet!$H$91,IF(I50=DataSet!$F$92,K50*DataSet!$H$92,0)))))))</f>
        <v xml:space="preserve"> </v>
      </c>
      <c r="S50" s="123"/>
    </row>
    <row r="51" spans="2:19" s="74" customFormat="1" x14ac:dyDescent="0.8">
      <c r="B51" s="149" t="str">
        <f t="shared" si="2"/>
        <v/>
      </c>
      <c r="C51" s="435"/>
      <c r="D51" s="435"/>
      <c r="E51" s="435"/>
      <c r="F51" s="435"/>
      <c r="G51" s="435"/>
      <c r="H51" s="435"/>
      <c r="I51" s="150"/>
      <c r="J51" s="151" t="str">
        <f>IF(I51="","",VLOOKUP(I51,DataSet!$F$77:$O$92,9,))</f>
        <v/>
      </c>
      <c r="K51" s="276"/>
      <c r="L51" s="153" t="str">
        <f>IF(I51="","",VLOOKUP(I51,DataSet!$F$77:$O$92,10,))</f>
        <v/>
      </c>
      <c r="M51" s="170"/>
      <c r="N51" s="155" t="str">
        <f>IF(C51=0," ",IF(M51=DataSet!$F$25,0,IF(I51=DataSet!$F$88,K51*DataSet!$H$88,IF(I51=DataSet!$F$89,K51*DataSet!$H$89,IF(I51=DataSet!$F$90,K51*DataSet!$H$90,IF(I51=DataSet!$F$91,K51*DataSet!$H$91,IF(I51=DataSet!$F$92,K51*DataSet!$H$92,0)))))))</f>
        <v xml:space="preserve"> </v>
      </c>
      <c r="S51" s="123"/>
    </row>
    <row r="52" spans="2:19" s="74" customFormat="1" x14ac:dyDescent="0.8">
      <c r="B52" s="149" t="str">
        <f t="shared" si="2"/>
        <v/>
      </c>
      <c r="C52" s="435"/>
      <c r="D52" s="435"/>
      <c r="E52" s="435"/>
      <c r="F52" s="435"/>
      <c r="G52" s="435"/>
      <c r="H52" s="435"/>
      <c r="I52" s="150"/>
      <c r="J52" s="151" t="str">
        <f>IF(I52="","",VLOOKUP(I52,DataSet!$F$77:$O$92,9,))</f>
        <v/>
      </c>
      <c r="K52" s="276"/>
      <c r="L52" s="153" t="str">
        <f>IF(I52="","",VLOOKUP(I52,DataSet!$F$77:$O$92,10,))</f>
        <v/>
      </c>
      <c r="M52" s="170"/>
      <c r="N52" s="155" t="str">
        <f>IF(C52=0," ",IF(M52=DataSet!$F$25,0,IF(I52=DataSet!$F$88,K52*DataSet!$H$88,IF(I52=DataSet!$F$89,K52*DataSet!$H$89,IF(I52=DataSet!$F$90,K52*DataSet!$H$90,IF(I52=DataSet!$F$91,K52*DataSet!$H$91,IF(I52=DataSet!$F$92,K52*DataSet!$H$92,0)))))))</f>
        <v xml:space="preserve"> </v>
      </c>
      <c r="S52" s="123"/>
    </row>
    <row r="53" spans="2:19" s="74" customFormat="1" x14ac:dyDescent="0.8">
      <c r="B53" s="149" t="str">
        <f t="shared" si="2"/>
        <v/>
      </c>
      <c r="C53" s="435"/>
      <c r="D53" s="435"/>
      <c r="E53" s="435"/>
      <c r="F53" s="435"/>
      <c r="G53" s="435"/>
      <c r="H53" s="435"/>
      <c r="I53" s="150"/>
      <c r="J53" s="151" t="str">
        <f>IF(I53="","",VLOOKUP(I53,DataSet!$F$77:$O$92,9,))</f>
        <v/>
      </c>
      <c r="K53" s="276"/>
      <c r="L53" s="153" t="str">
        <f>IF(I53="","",VLOOKUP(I53,DataSet!$F$77:$O$92,10,))</f>
        <v/>
      </c>
      <c r="M53" s="170"/>
      <c r="N53" s="155" t="str">
        <f>IF(C53=0," ",IF(M53=DataSet!$F$25,0,IF(I53=DataSet!$F$88,K53*DataSet!$H$88,IF(I53=DataSet!$F$89,K53*DataSet!$H$89,IF(I53=DataSet!$F$90,K53*DataSet!$H$90,IF(I53=DataSet!$F$91,K53*DataSet!$H$91,IF(I53=DataSet!$F$92,K53*DataSet!$H$92,0)))))))</f>
        <v xml:space="preserve"> </v>
      </c>
      <c r="S53" s="123"/>
    </row>
    <row r="54" spans="2:19" s="74" customFormat="1" x14ac:dyDescent="0.8">
      <c r="B54" s="149" t="str">
        <f t="shared" si="2"/>
        <v/>
      </c>
      <c r="C54" s="435"/>
      <c r="D54" s="435"/>
      <c r="E54" s="435"/>
      <c r="F54" s="435"/>
      <c r="G54" s="435"/>
      <c r="H54" s="435"/>
      <c r="I54" s="150"/>
      <c r="J54" s="151" t="str">
        <f>IF(I54="","",VLOOKUP(I54,DataSet!$F$77:$O$92,9,))</f>
        <v/>
      </c>
      <c r="K54" s="276"/>
      <c r="L54" s="153" t="str">
        <f>IF(I54="","",VLOOKUP(I54,DataSet!$F$77:$O$92,10,))</f>
        <v/>
      </c>
      <c r="M54" s="170"/>
      <c r="N54" s="155" t="str">
        <f>IF(C54=0," ",IF(M54=DataSet!$F$25,0,IF(I54=DataSet!$F$88,K54*DataSet!$H$88,IF(I54=DataSet!$F$89,K54*DataSet!$H$89,IF(I54=DataSet!$F$90,K54*DataSet!$H$90,IF(I54=DataSet!$F$91,K54*DataSet!$H$91,IF(I54=DataSet!$F$92,K54*DataSet!$H$92,0)))))))</f>
        <v xml:space="preserve"> </v>
      </c>
      <c r="S54" s="123"/>
    </row>
    <row r="55" spans="2:19" s="74" customFormat="1" x14ac:dyDescent="0.8">
      <c r="B55" s="149" t="str">
        <f t="shared" si="2"/>
        <v/>
      </c>
      <c r="C55" s="435"/>
      <c r="D55" s="435"/>
      <c r="E55" s="435"/>
      <c r="F55" s="435"/>
      <c r="G55" s="435"/>
      <c r="H55" s="435"/>
      <c r="I55" s="150"/>
      <c r="J55" s="151" t="str">
        <f>IF(I55="","",VLOOKUP(I55,DataSet!$F$77:$O$92,9,))</f>
        <v/>
      </c>
      <c r="K55" s="276"/>
      <c r="L55" s="153" t="str">
        <f>IF(I55="","",VLOOKUP(I55,DataSet!$F$77:$O$92,10,))</f>
        <v/>
      </c>
      <c r="M55" s="170"/>
      <c r="N55" s="155" t="str">
        <f>IF(C55=0," ",IF(M55=DataSet!$F$25,0,IF(I55=DataSet!$F$88,K55*DataSet!$H$88,IF(I55=DataSet!$F$89,K55*DataSet!$H$89,IF(I55=DataSet!$F$90,K55*DataSet!$H$90,IF(I55=DataSet!$F$91,K55*DataSet!$H$91,IF(I55=DataSet!$F$92,K55*DataSet!$H$92,0)))))))</f>
        <v xml:space="preserve"> </v>
      </c>
      <c r="S55" s="123"/>
    </row>
    <row r="56" spans="2:19" s="74" customFormat="1" x14ac:dyDescent="0.8">
      <c r="B56" s="149" t="str">
        <f t="shared" si="2"/>
        <v/>
      </c>
      <c r="C56" s="435"/>
      <c r="D56" s="435"/>
      <c r="E56" s="435"/>
      <c r="F56" s="435"/>
      <c r="G56" s="435"/>
      <c r="H56" s="435"/>
      <c r="I56" s="150"/>
      <c r="J56" s="151" t="str">
        <f>IF(I56="","",VLOOKUP(I56,DataSet!$F$77:$O$92,9,))</f>
        <v/>
      </c>
      <c r="K56" s="276"/>
      <c r="L56" s="153" t="str">
        <f>IF(I56="","",VLOOKUP(I56,DataSet!$F$77:$O$92,10,))</f>
        <v/>
      </c>
      <c r="M56" s="170"/>
      <c r="N56" s="155" t="str">
        <f>IF(C56=0," ",IF(M56=DataSet!$F$25,0,IF(I56=DataSet!$F$88,K56*DataSet!$H$88,IF(I56=DataSet!$F$89,K56*DataSet!$H$89,IF(I56=DataSet!$F$90,K56*DataSet!$H$90,IF(I56=DataSet!$F$91,K56*DataSet!$H$91,IF(I56=DataSet!$F$92,K56*DataSet!$H$92,0)))))))</f>
        <v xml:space="preserve"> </v>
      </c>
      <c r="S56" s="123"/>
    </row>
    <row r="57" spans="2:19" s="74" customFormat="1" ht="24.5" thickBot="1" x14ac:dyDescent="0.85">
      <c r="B57" s="157" t="str">
        <f t="shared" si="2"/>
        <v/>
      </c>
      <c r="C57" s="436"/>
      <c r="D57" s="436"/>
      <c r="E57" s="436"/>
      <c r="F57" s="436"/>
      <c r="G57" s="436"/>
      <c r="H57" s="436"/>
      <c r="I57" s="158"/>
      <c r="J57" s="159" t="str">
        <f>IF(I57="","",VLOOKUP(I57,DataSet!$F$77:$O$92,9,))</f>
        <v/>
      </c>
      <c r="K57" s="277"/>
      <c r="L57" s="161" t="str">
        <f>IF(I57="","",VLOOKUP(I57,DataSet!$F$77:$O$92,10,))</f>
        <v/>
      </c>
      <c r="M57" s="171"/>
      <c r="N57" s="148" t="str">
        <f>IF(C57=0," ",IF(M57=DataSet!$F$25,0,IF(I57=DataSet!$F$88,K57*DataSet!$H$88,IF(I57=DataSet!$F$89,K57*DataSet!$H$89,IF(I57=DataSet!$F$90,K57*DataSet!$H$90,IF(I57=DataSet!$F$91,K57*DataSet!$H$91,IF(I57=DataSet!$F$92,K57*DataSet!$H$92,0)))))))</f>
        <v xml:space="preserve"> </v>
      </c>
      <c r="S57" s="123"/>
    </row>
    <row r="58" spans="2:19" s="74" customFormat="1" x14ac:dyDescent="0.8">
      <c r="J58" s="123"/>
      <c r="K58" s="123"/>
      <c r="L58" s="172"/>
      <c r="S58" s="123"/>
    </row>
    <row r="59" spans="2:19" s="74" customFormat="1" x14ac:dyDescent="0.8">
      <c r="J59" s="123"/>
      <c r="K59" s="123"/>
      <c r="L59" s="172"/>
      <c r="S59" s="123"/>
    </row>
    <row r="60" spans="2:19" s="74" customFormat="1" x14ac:dyDescent="0.8">
      <c r="J60" s="123"/>
      <c r="K60" s="123"/>
      <c r="L60" s="172"/>
      <c r="S60" s="123"/>
    </row>
    <row r="61" spans="2:19" s="74" customFormat="1" x14ac:dyDescent="0.8">
      <c r="J61" s="123"/>
      <c r="K61" s="123"/>
      <c r="L61" s="172"/>
      <c r="S61" s="123"/>
    </row>
    <row r="62" spans="2:19" s="74" customFormat="1" x14ac:dyDescent="0.8">
      <c r="J62" s="123"/>
      <c r="K62" s="123"/>
      <c r="L62" s="172"/>
      <c r="S62" s="123"/>
    </row>
    <row r="63" spans="2:19" s="74" customFormat="1" x14ac:dyDescent="0.8">
      <c r="J63" s="123"/>
      <c r="K63" s="123"/>
      <c r="L63" s="172"/>
      <c r="S63" s="123"/>
    </row>
    <row r="64" spans="2:19" s="74" customFormat="1" x14ac:dyDescent="0.8">
      <c r="J64" s="123"/>
      <c r="K64" s="123"/>
      <c r="L64" s="172"/>
      <c r="S64" s="123"/>
    </row>
    <row r="65" spans="4:19" s="74" customFormat="1" x14ac:dyDescent="0.8">
      <c r="J65" s="123"/>
      <c r="K65" s="123"/>
      <c r="L65" s="172"/>
      <c r="S65" s="123"/>
    </row>
    <row r="66" spans="4:19" s="74" customFormat="1" x14ac:dyDescent="0.8">
      <c r="J66" s="123"/>
      <c r="K66" s="123"/>
      <c r="L66" s="172"/>
      <c r="S66" s="123"/>
    </row>
    <row r="67" spans="4:19" s="74" customFormat="1" x14ac:dyDescent="0.8">
      <c r="J67" s="123"/>
      <c r="K67" s="123"/>
      <c r="L67" s="172"/>
      <c r="S67" s="123"/>
    </row>
    <row r="68" spans="4:19" s="74" customFormat="1" x14ac:dyDescent="0.8">
      <c r="J68" s="123"/>
      <c r="K68" s="123"/>
      <c r="L68" s="172"/>
      <c r="S68" s="123"/>
    </row>
    <row r="69" spans="4:19" s="74" customFormat="1" x14ac:dyDescent="0.8">
      <c r="J69" s="123"/>
      <c r="K69" s="123"/>
      <c r="L69" s="172"/>
      <c r="S69" s="123"/>
    </row>
    <row r="70" spans="4:19" s="74" customFormat="1" x14ac:dyDescent="0.8">
      <c r="D70" s="123"/>
      <c r="E70" s="123"/>
      <c r="J70" s="123"/>
      <c r="K70" s="123"/>
      <c r="L70" s="172"/>
      <c r="S70" s="123"/>
    </row>
    <row r="71" spans="4:19" s="74" customFormat="1" x14ac:dyDescent="0.8">
      <c r="D71" s="123"/>
      <c r="E71" s="123"/>
      <c r="J71" s="123"/>
      <c r="K71" s="123"/>
      <c r="L71" s="172"/>
      <c r="S71" s="123"/>
    </row>
    <row r="72" spans="4:19" s="74" customFormat="1" x14ac:dyDescent="0.8">
      <c r="D72" s="123"/>
      <c r="E72" s="123"/>
      <c r="J72" s="123"/>
      <c r="K72" s="123"/>
      <c r="L72" s="172"/>
      <c r="S72" s="123"/>
    </row>
  </sheetData>
  <sheetProtection sheet="1" selectLockedCells="1"/>
  <mergeCells count="65">
    <mergeCell ref="C56:H56"/>
    <mergeCell ref="C57:H57"/>
    <mergeCell ref="C51:H51"/>
    <mergeCell ref="C52:H52"/>
    <mergeCell ref="C53:H53"/>
    <mergeCell ref="C54:H54"/>
    <mergeCell ref="C55:H55"/>
    <mergeCell ref="C47:H47"/>
    <mergeCell ref="J47:L47"/>
    <mergeCell ref="C48:H48"/>
    <mergeCell ref="C49:H49"/>
    <mergeCell ref="C50:H50"/>
    <mergeCell ref="B6:N6"/>
    <mergeCell ref="B46:I46"/>
    <mergeCell ref="J46:K46"/>
    <mergeCell ref="M46:N46"/>
    <mergeCell ref="B1:I1"/>
    <mergeCell ref="J1:K1"/>
    <mergeCell ref="B8:N8"/>
    <mergeCell ref="B2:N2"/>
    <mergeCell ref="B4:N4"/>
    <mergeCell ref="M7:N7"/>
    <mergeCell ref="I7:K7"/>
    <mergeCell ref="B7:H7"/>
    <mergeCell ref="B9:N9"/>
    <mergeCell ref="M10:N10"/>
    <mergeCell ref="C11:H11"/>
    <mergeCell ref="J11:L11"/>
    <mergeCell ref="J10:K10"/>
    <mergeCell ref="B10:I10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33:I33"/>
    <mergeCell ref="J33:K33"/>
    <mergeCell ref="M33:N33"/>
    <mergeCell ref="C34:H34"/>
    <mergeCell ref="J34:L34"/>
    <mergeCell ref="C35:H35"/>
    <mergeCell ref="C36:H36"/>
    <mergeCell ref="C42:H42"/>
    <mergeCell ref="C43:H43"/>
    <mergeCell ref="C44:H44"/>
    <mergeCell ref="C37:H37"/>
    <mergeCell ref="C38:H38"/>
    <mergeCell ref="C39:H39"/>
    <mergeCell ref="C40:H40"/>
    <mergeCell ref="C41:H41"/>
  </mergeCells>
  <phoneticPr fontId="8" type="noConversion"/>
  <conditionalFormatting sqref="L7">
    <cfRule type="cellIs" dxfId="14" priority="6" operator="greaterThan">
      <formula>0</formula>
    </cfRule>
  </conditionalFormatting>
  <conditionalFormatting sqref="L10">
    <cfRule type="cellIs" dxfId="13" priority="3" operator="greaterThan">
      <formula>0</formula>
    </cfRule>
  </conditionalFormatting>
  <conditionalFormatting sqref="L33">
    <cfRule type="cellIs" dxfId="12" priority="2" operator="greaterThan">
      <formula>0</formula>
    </cfRule>
  </conditionalFormatting>
  <conditionalFormatting sqref="L46">
    <cfRule type="cellIs" dxfId="11" priority="1" operator="greaterThan">
      <formula>0</formula>
    </cfRule>
  </conditionalFormatting>
  <dataValidations count="2">
    <dataValidation type="list" allowBlank="1" showInputMessage="1" showErrorMessage="1" sqref="M35:M44 M12:M32 M48:M57" xr:uid="{00000000-0002-0000-0400-000000000000}">
      <formula1>$F$18:$F$19</formula1>
    </dataValidation>
    <dataValidation type="list" allowBlank="1" showInputMessage="1" showErrorMessage="1" sqref="I12:I31" xr:uid="{15458B1F-AE1A-40B8-A7CF-5EB1B09C38E8}">
      <formula1>$Q$12:$Q$18</formula1>
    </dataValidation>
  </dataValidations>
  <pageMargins left="0.39" right="0.28999999999999998" top="0.52" bottom="0.34" header="0.3" footer="0.3"/>
  <pageSetup scale="71" fitToHeight="0" orientation="portrait" r:id="rId1"/>
  <rowBreaks count="1" manualBreakCount="1">
    <brk id="31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4000000}">
          <x14:formula1>
            <xm:f>DataSet!$F$77:$F$83</xm:f>
          </x14:formula1>
          <xm:sqref>I32</xm:sqref>
        </x14:dataValidation>
        <x14:dataValidation type="list" allowBlank="1" showInputMessage="1" showErrorMessage="1" xr:uid="{330546E0-0634-43E4-ADBF-24E9883FAD0F}">
          <x14:formula1>
            <xm:f>DataSet!$F$88:$F$92</xm:f>
          </x14:formula1>
          <xm:sqref>I48:I57</xm:sqref>
        </x14:dataValidation>
        <x14:dataValidation type="list" allowBlank="1" showInputMessage="1" showErrorMessage="1" xr:uid="{F8611CA4-2FF1-41A2-8847-0F178FC86DBF}">
          <x14:formula1>
            <xm:f>DataSet!$F$84:$F$86</xm:f>
          </x14:formula1>
          <xm:sqref>I35:I44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DF1F1-9C31-42F3-8831-C63ABF883765}">
  <sheetPr>
    <tabColor rgb="FF92D050"/>
    <pageSetUpPr fitToPage="1"/>
  </sheetPr>
  <dimension ref="B1:S26"/>
  <sheetViews>
    <sheetView zoomScaleNormal="100" workbookViewId="0">
      <pane ySplit="7" topLeftCell="A8" activePane="bottomLeft" state="frozen"/>
      <selection pane="bottomLeft" activeCell="D10" sqref="D10:H10"/>
    </sheetView>
  </sheetViews>
  <sheetFormatPr defaultColWidth="9" defaultRowHeight="24" x14ac:dyDescent="0.8"/>
  <cols>
    <col min="1" max="1" width="3.6640625" style="50" customWidth="1"/>
    <col min="2" max="2" width="4.1640625" style="50" customWidth="1"/>
    <col min="3" max="3" width="12.83203125" style="50" customWidth="1"/>
    <col min="4" max="4" width="3.6640625" style="126" customWidth="1"/>
    <col min="5" max="5" width="11.9140625" style="126" customWidth="1"/>
    <col min="6" max="6" width="10.9140625" style="50" customWidth="1"/>
    <col min="7" max="7" width="5.4140625" style="50" customWidth="1"/>
    <col min="8" max="8" width="14.4140625" style="50" customWidth="1"/>
    <col min="9" max="9" width="26.33203125" style="50" customWidth="1"/>
    <col min="10" max="10" width="6.83203125" style="126" customWidth="1"/>
    <col min="11" max="11" width="6" style="126" customWidth="1"/>
    <col min="12" max="12" width="9.4140625" style="124" customWidth="1"/>
    <col min="13" max="13" width="10.4140625" style="50" bestFit="1" customWidth="1"/>
    <col min="14" max="14" width="9.08203125" style="50" customWidth="1"/>
    <col min="15" max="15" width="9" style="50" customWidth="1"/>
    <col min="16" max="16" width="16" style="50" bestFit="1" customWidth="1"/>
    <col min="17" max="17" width="39.33203125" style="50" bestFit="1" customWidth="1"/>
    <col min="18" max="18" width="12.33203125" style="50" customWidth="1"/>
    <col min="19" max="19" width="9" style="126" customWidth="1"/>
    <col min="20" max="30" width="9" style="50" customWidth="1"/>
    <col min="31" max="16384" width="9" style="50"/>
  </cols>
  <sheetData>
    <row r="1" spans="2:19" ht="26.25" customHeight="1" x14ac:dyDescent="1">
      <c r="B1" s="402" t="s">
        <v>50</v>
      </c>
      <c r="C1" s="402"/>
      <c r="D1" s="402"/>
      <c r="E1" s="402"/>
      <c r="F1" s="402"/>
      <c r="G1" s="402"/>
      <c r="H1" s="402"/>
      <c r="I1" s="402"/>
      <c r="J1" s="403">
        <f>DataSet!H5</f>
        <v>2569</v>
      </c>
      <c r="K1" s="403"/>
      <c r="M1" s="125"/>
      <c r="N1" s="125"/>
    </row>
    <row r="2" spans="2:19" ht="26.25" customHeight="1" x14ac:dyDescent="0.8">
      <c r="B2" s="404" t="s">
        <v>38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</row>
    <row r="3" spans="2:19" ht="9.75" customHeight="1" thickBot="1" x14ac:dyDescent="0.85"/>
    <row r="4" spans="2:19" ht="30.5" thickBot="1" x14ac:dyDescent="1.05">
      <c r="B4" s="388" t="s">
        <v>139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90"/>
    </row>
    <row r="5" spans="2:19" ht="10.5" customHeight="1" thickBot="1" x14ac:dyDescent="1.05"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2:19" s="252" customFormat="1" ht="30.5" thickBot="1" x14ac:dyDescent="1.05">
      <c r="B6" s="441" t="s">
        <v>437</v>
      </c>
      <c r="C6" s="442"/>
      <c r="D6" s="442"/>
      <c r="E6" s="442"/>
      <c r="F6" s="442"/>
      <c r="G6" s="442"/>
      <c r="H6" s="442"/>
      <c r="I6" s="442"/>
      <c r="J6" s="442"/>
      <c r="K6" s="442"/>
      <c r="L6" s="442"/>
      <c r="M6" s="442"/>
      <c r="N6" s="443"/>
      <c r="S6" s="270"/>
    </row>
    <row r="7" spans="2:19" s="88" customFormat="1" ht="30.5" thickBot="1" x14ac:dyDescent="1.05">
      <c r="B7" s="398" t="s">
        <v>438</v>
      </c>
      <c r="C7" s="399"/>
      <c r="D7" s="399"/>
      <c r="E7" s="399"/>
      <c r="F7" s="399"/>
      <c r="G7" s="399"/>
      <c r="H7" s="399"/>
      <c r="I7" s="400" t="s">
        <v>56</v>
      </c>
      <c r="J7" s="400"/>
      <c r="K7" s="400"/>
      <c r="L7" s="265">
        <f>SUM(N10:N11)</f>
        <v>0</v>
      </c>
      <c r="M7" s="399" t="s">
        <v>218</v>
      </c>
      <c r="N7" s="401"/>
    </row>
    <row r="8" spans="2:19" s="88" customFormat="1" ht="7.5" customHeight="1" thickBot="1" x14ac:dyDescent="0.95">
      <c r="B8" s="408"/>
      <c r="C8" s="408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</row>
    <row r="9" spans="2:19" x14ac:dyDescent="0.8">
      <c r="B9" s="283" t="s">
        <v>102</v>
      </c>
      <c r="C9" s="445" t="s">
        <v>97</v>
      </c>
      <c r="D9" s="445"/>
      <c r="E9" s="445"/>
      <c r="F9" s="445"/>
      <c r="G9" s="445"/>
      <c r="H9" s="446"/>
      <c r="I9" s="447" t="s">
        <v>131</v>
      </c>
      <c r="J9" s="445"/>
      <c r="K9" s="445"/>
      <c r="L9" s="446"/>
      <c r="M9" s="284" t="s">
        <v>62</v>
      </c>
      <c r="N9" s="285" t="s">
        <v>49</v>
      </c>
    </row>
    <row r="10" spans="2:19" x14ac:dyDescent="0.8">
      <c r="B10" s="111" t="str">
        <f>IF(D10="","",ROW()-9)</f>
        <v/>
      </c>
      <c r="C10" s="279" t="s">
        <v>439</v>
      </c>
      <c r="D10" s="448"/>
      <c r="E10" s="448"/>
      <c r="F10" s="448"/>
      <c r="G10" s="448"/>
      <c r="H10" s="449"/>
      <c r="I10" s="450" t="s">
        <v>440</v>
      </c>
      <c r="J10" s="451"/>
      <c r="K10" s="451"/>
      <c r="L10" s="452"/>
      <c r="M10" s="280"/>
      <c r="N10" s="281" t="str">
        <f>IF(D10=0," ",IF(M10=[1]DataSet!$F$25,0,IF(D10=[1]DataSet!F66,[1]DataSet!H66,IF(D10=[1]DataSet!F67,[1]DataSet!H67,IF(D10=[1]DataSet!F68,[1]DataSet!H68,IF(D10=[1]DataSet!F70,[1]DataSet!H70,IF(D10=[1]DataSet!F71,[1]DataSet!H71,IF(D10=[1]DataSet!F72,[1]DataSet!H72,IF(D10=[1]DataSet!F73,[1]DataSet!H73,IF(D10=[1]DataSet!F74,[1]DataSet!H74,IF(D10=[1]DataSet!F75,[1]DataSet!H75,IF(D10=[1]DataSet!F76,[1]DataSet!H76,0))))))))))))</f>
        <v xml:space="preserve"> </v>
      </c>
    </row>
    <row r="11" spans="2:19" ht="24.5" thickBot="1" x14ac:dyDescent="0.85">
      <c r="B11" s="132" t="str">
        <f>IF(D11="","",ROW()-9)</f>
        <v/>
      </c>
      <c r="C11" s="282" t="s">
        <v>441</v>
      </c>
      <c r="D11" s="456"/>
      <c r="E11" s="456"/>
      <c r="F11" s="456"/>
      <c r="G11" s="456"/>
      <c r="H11" s="457"/>
      <c r="I11" s="453"/>
      <c r="J11" s="454"/>
      <c r="K11" s="454"/>
      <c r="L11" s="455"/>
      <c r="M11" s="133"/>
      <c r="N11" s="234" t="str">
        <f>IF(D11=0," ",IF(M11=[1]DataSet!$F$25,0,IF(D11=[1]DataSet!F67,[1]DataSet!H67,IF(D11=[1]DataSet!F68,[1]DataSet!H68,IF(D11=[1]DataSet!F69,[1]DataSet!H69,IF(D11=[1]DataSet!F71,[1]DataSet!H71,IF(D11=[1]DataSet!F72,[1]DataSet!H72,IF(D11=[1]DataSet!F73,[1]DataSet!H73,IF(D11=[1]DataSet!F74,[1]DataSet!H74,IF(D11=[1]DataSet!F75,[1]DataSet!H75,IF(D11=[1]DataSet!F76,[1]DataSet!H76,IF(D11=[1]DataSet!F77,[1]DataSet!H77,0))))))))))))</f>
        <v xml:space="preserve"> </v>
      </c>
      <c r="P11" s="108"/>
      <c r="Q11" s="108"/>
      <c r="R11" s="94"/>
      <c r="S11" s="94"/>
    </row>
    <row r="12" spans="2:19" s="74" customFormat="1" x14ac:dyDescent="0.8">
      <c r="J12" s="123"/>
      <c r="K12" s="123"/>
      <c r="L12" s="172"/>
      <c r="S12" s="123"/>
    </row>
    <row r="13" spans="2:19" s="74" customFormat="1" x14ac:dyDescent="0.8">
      <c r="J13" s="123"/>
      <c r="K13" s="123"/>
      <c r="L13" s="172"/>
      <c r="S13" s="123"/>
    </row>
    <row r="14" spans="2:19" s="74" customFormat="1" x14ac:dyDescent="0.8">
      <c r="J14" s="123"/>
      <c r="K14" s="123"/>
      <c r="L14" s="172"/>
      <c r="S14" s="123"/>
    </row>
    <row r="15" spans="2:19" s="74" customFormat="1" x14ac:dyDescent="0.8">
      <c r="J15" s="123"/>
      <c r="K15" s="123"/>
      <c r="L15" s="172"/>
      <c r="S15" s="123"/>
    </row>
    <row r="16" spans="2:19" s="74" customFormat="1" x14ac:dyDescent="0.8">
      <c r="J16" s="123"/>
      <c r="K16" s="123"/>
      <c r="L16" s="172"/>
      <c r="S16" s="123"/>
    </row>
    <row r="17" spans="2:19" s="74" customFormat="1" x14ac:dyDescent="0.8">
      <c r="J17" s="123"/>
      <c r="K17" s="123"/>
      <c r="L17" s="172"/>
      <c r="S17" s="123"/>
    </row>
    <row r="18" spans="2:19" s="74" customFormat="1" x14ac:dyDescent="0.8">
      <c r="J18" s="123"/>
      <c r="K18" s="123"/>
      <c r="L18" s="172"/>
      <c r="S18" s="123"/>
    </row>
    <row r="19" spans="2:19" s="74" customFormat="1" x14ac:dyDescent="0.8">
      <c r="J19" s="123"/>
      <c r="K19" s="123"/>
      <c r="L19" s="172"/>
      <c r="S19" s="123"/>
    </row>
    <row r="20" spans="2:19" s="74" customFormat="1" x14ac:dyDescent="0.8">
      <c r="J20" s="123"/>
      <c r="K20" s="123"/>
      <c r="L20" s="172"/>
      <c r="S20" s="123"/>
    </row>
    <row r="21" spans="2:19" s="74" customFormat="1" x14ac:dyDescent="0.8">
      <c r="J21" s="123"/>
      <c r="K21" s="123"/>
      <c r="L21" s="172"/>
      <c r="S21" s="123"/>
    </row>
    <row r="22" spans="2:19" s="74" customFormat="1" x14ac:dyDescent="0.8">
      <c r="J22" s="123"/>
      <c r="K22" s="123"/>
      <c r="L22" s="172"/>
      <c r="S22" s="123"/>
    </row>
    <row r="23" spans="2:19" x14ac:dyDescent="0.8">
      <c r="B23" s="74"/>
      <c r="C23" s="74"/>
      <c r="D23" s="74"/>
      <c r="E23" s="74"/>
      <c r="F23" s="74"/>
      <c r="G23" s="74"/>
      <c r="H23" s="74"/>
      <c r="I23" s="74"/>
      <c r="J23" s="123"/>
      <c r="K23" s="123"/>
      <c r="L23" s="172"/>
      <c r="M23" s="74"/>
      <c r="N23" s="74"/>
    </row>
    <row r="24" spans="2:19" x14ac:dyDescent="0.8">
      <c r="B24" s="74"/>
      <c r="C24" s="74"/>
      <c r="D24" s="123"/>
      <c r="E24" s="123"/>
      <c r="F24" s="74"/>
      <c r="G24" s="74"/>
      <c r="H24" s="74"/>
      <c r="I24" s="74"/>
      <c r="J24" s="123"/>
      <c r="K24" s="123"/>
      <c r="L24" s="172"/>
      <c r="M24" s="74"/>
      <c r="N24" s="74"/>
    </row>
    <row r="25" spans="2:19" x14ac:dyDescent="0.8">
      <c r="B25" s="74"/>
      <c r="C25" s="74"/>
      <c r="D25" s="123"/>
      <c r="E25" s="123"/>
      <c r="F25" s="74"/>
      <c r="G25" s="74"/>
      <c r="H25" s="74"/>
      <c r="I25" s="74"/>
      <c r="J25" s="123"/>
      <c r="K25" s="123"/>
      <c r="L25" s="172"/>
      <c r="M25" s="74"/>
      <c r="N25" s="74"/>
    </row>
    <row r="26" spans="2:19" x14ac:dyDescent="0.8">
      <c r="B26" s="74"/>
      <c r="C26" s="74"/>
      <c r="D26" s="123"/>
      <c r="E26" s="123"/>
      <c r="F26" s="74"/>
      <c r="G26" s="74"/>
      <c r="H26" s="74"/>
      <c r="I26" s="74"/>
      <c r="J26" s="123"/>
      <c r="K26" s="123"/>
      <c r="L26" s="172"/>
      <c r="M26" s="74"/>
      <c r="N26" s="74"/>
    </row>
  </sheetData>
  <sheetProtection sheet="1" selectLockedCells="1"/>
  <mergeCells count="14">
    <mergeCell ref="B8:N8"/>
    <mergeCell ref="B1:I1"/>
    <mergeCell ref="J1:K1"/>
    <mergeCell ref="B2:N2"/>
    <mergeCell ref="B4:N4"/>
    <mergeCell ref="B6:N6"/>
    <mergeCell ref="B7:H7"/>
    <mergeCell ref="I7:K7"/>
    <mergeCell ref="M7:N7"/>
    <mergeCell ref="C9:H9"/>
    <mergeCell ref="I9:L9"/>
    <mergeCell ref="D10:H10"/>
    <mergeCell ref="I10:L11"/>
    <mergeCell ref="D11:H11"/>
  </mergeCells>
  <conditionalFormatting sqref="L7">
    <cfRule type="cellIs" dxfId="10" priority="5" operator="greaterThan">
      <formula>0</formula>
    </cfRule>
  </conditionalFormatting>
  <pageMargins left="0.39" right="0.28999999999999998" top="0.52" bottom="0.34" header="0.3" footer="0.3"/>
  <pageSetup scale="71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B3C4E36-48F8-4DDD-A7AB-836898548C25}">
          <x14:formula1>
            <xm:f>DataSet!$F$66:$F$69</xm:f>
          </x14:formula1>
          <xm:sqref>D10:H10</xm:sqref>
        </x14:dataValidation>
        <x14:dataValidation type="list" allowBlank="1" showInputMessage="1" showErrorMessage="1" xr:uid="{CB50043D-0E65-45F9-AF1B-FF3CA4FA8552}">
          <x14:formula1>
            <xm:f>DataSet!$F$70:$F$75</xm:f>
          </x14:formula1>
          <xm:sqref>D11:H11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C000"/>
    <pageSetUpPr fitToPage="1"/>
  </sheetPr>
  <dimension ref="B1:U68"/>
  <sheetViews>
    <sheetView zoomScaleNormal="100" workbookViewId="0">
      <pane ySplit="6" topLeftCell="A7" activePane="bottomLeft" state="frozen"/>
      <selection pane="bottomLeft"/>
    </sheetView>
  </sheetViews>
  <sheetFormatPr defaultColWidth="9" defaultRowHeight="24" x14ac:dyDescent="0.8"/>
  <cols>
    <col min="1" max="1" width="4" style="48" customWidth="1"/>
    <col min="2" max="2" width="3.9140625" style="48" customWidth="1"/>
    <col min="3" max="3" width="12.83203125" style="48" customWidth="1"/>
    <col min="4" max="4" width="3.6640625" style="119" customWidth="1"/>
    <col min="5" max="5" width="3.1640625" style="119" customWidth="1"/>
    <col min="6" max="6" width="12.4140625" style="48" customWidth="1"/>
    <col min="7" max="7" width="5.6640625" style="48" customWidth="1"/>
    <col min="8" max="8" width="22.08203125" style="48" customWidth="1"/>
    <col min="9" max="9" width="23.83203125" style="48" customWidth="1"/>
    <col min="10" max="10" width="6.33203125" style="119" customWidth="1"/>
    <col min="11" max="11" width="5" style="119" customWidth="1"/>
    <col min="12" max="12" width="7.9140625" style="174" customWidth="1"/>
    <col min="13" max="13" width="10.4140625" style="48" bestFit="1" customWidth="1"/>
    <col min="14" max="14" width="8.9140625" style="48" bestFit="1" customWidth="1"/>
    <col min="15" max="15" width="0" style="175" hidden="1" customWidth="1"/>
    <col min="16" max="18" width="0" style="50" hidden="1" customWidth="1"/>
    <col min="19" max="19" width="12.33203125" style="50" hidden="1" customWidth="1"/>
    <col min="20" max="20" width="0" style="126" hidden="1" customWidth="1"/>
    <col min="21" max="21" width="0" style="50" hidden="1" customWidth="1"/>
    <col min="22" max="16384" width="9" style="48"/>
  </cols>
  <sheetData>
    <row r="1" spans="2:21" ht="26.25" customHeight="1" x14ac:dyDescent="1">
      <c r="B1" s="308" t="s">
        <v>50</v>
      </c>
      <c r="C1" s="308"/>
      <c r="D1" s="308"/>
      <c r="E1" s="308"/>
      <c r="F1" s="308"/>
      <c r="G1" s="308"/>
      <c r="H1" s="308"/>
      <c r="I1" s="308"/>
      <c r="J1" s="465">
        <f>DataSet!H5</f>
        <v>2569</v>
      </c>
      <c r="K1" s="465"/>
      <c r="M1" s="87"/>
      <c r="N1" s="87"/>
    </row>
    <row r="2" spans="2:21" ht="26.25" customHeight="1" x14ac:dyDescent="0.8">
      <c r="B2" s="307" t="s">
        <v>38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</row>
    <row r="3" spans="2:21" ht="9.75" customHeight="1" thickBot="1" x14ac:dyDescent="0.85"/>
    <row r="4" spans="2:21" ht="30.5" thickBot="1" x14ac:dyDescent="1.05">
      <c r="B4" s="388" t="s">
        <v>222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90"/>
      <c r="P4" s="48"/>
      <c r="Q4" s="48"/>
      <c r="R4" s="48"/>
      <c r="S4" s="48"/>
    </row>
    <row r="5" spans="2:21" ht="12" customHeight="1" thickBot="1" x14ac:dyDescent="1.05"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P5" s="48"/>
      <c r="Q5" s="48"/>
      <c r="R5" s="48"/>
      <c r="S5" s="48"/>
    </row>
    <row r="6" spans="2:21" s="89" customFormat="1" ht="30" x14ac:dyDescent="1">
      <c r="B6" s="466" t="s">
        <v>442</v>
      </c>
      <c r="C6" s="467"/>
      <c r="D6" s="467"/>
      <c r="E6" s="467"/>
      <c r="F6" s="467"/>
      <c r="G6" s="467"/>
      <c r="H6" s="467"/>
      <c r="I6" s="468" t="s">
        <v>56</v>
      </c>
      <c r="J6" s="468"/>
      <c r="K6" s="468"/>
      <c r="L6" s="176">
        <f>SUM(N8:N15)</f>
        <v>0</v>
      </c>
      <c r="M6" s="467" t="s">
        <v>44</v>
      </c>
      <c r="N6" s="469"/>
      <c r="O6" s="177"/>
      <c r="T6" s="128"/>
      <c r="U6" s="88"/>
    </row>
    <row r="7" spans="2:21" s="95" customFormat="1" ht="24.75" customHeight="1" x14ac:dyDescent="0.8">
      <c r="B7" s="90" t="s">
        <v>102</v>
      </c>
      <c r="C7" s="387" t="s">
        <v>97</v>
      </c>
      <c r="D7" s="387"/>
      <c r="E7" s="387"/>
      <c r="F7" s="387"/>
      <c r="G7" s="387"/>
      <c r="H7" s="387"/>
      <c r="I7" s="92" t="s">
        <v>51</v>
      </c>
      <c r="J7" s="312" t="s">
        <v>100</v>
      </c>
      <c r="K7" s="349"/>
      <c r="L7" s="314"/>
      <c r="M7" s="178" t="s">
        <v>444</v>
      </c>
      <c r="N7" s="93" t="s">
        <v>49</v>
      </c>
      <c r="O7" s="179"/>
      <c r="T7" s="167"/>
      <c r="U7" s="94"/>
    </row>
    <row r="8" spans="2:21" ht="24" customHeight="1" x14ac:dyDescent="0.8">
      <c r="B8" s="96" t="str">
        <f>IF(C8="","",ROW()-7)</f>
        <v/>
      </c>
      <c r="C8" s="458"/>
      <c r="D8" s="459"/>
      <c r="E8" s="459"/>
      <c r="F8" s="459"/>
      <c r="G8" s="459"/>
      <c r="H8" s="460"/>
      <c r="I8" s="99"/>
      <c r="J8" s="180" t="str">
        <f>IF(I8=0, " ", IF(I8=DataSet!F98, "จำนวน", " "))</f>
        <v xml:space="preserve"> </v>
      </c>
      <c r="K8" s="181"/>
      <c r="L8" s="182" t="str">
        <f>IF(I8=0," ",IF(I8=DataSet!F98,"ชั่วโมง"," "))</f>
        <v xml:space="preserve"> </v>
      </c>
      <c r="M8" s="183"/>
      <c r="N8" s="101" t="str">
        <f>IF(C8=0," ",IF(M8=DataSet!F25,0,IF(K8&gt;60,4,IF(I8=DataSet!F98,(K8/15),IF(I8=DataSet!F99,4,0)))))</f>
        <v xml:space="preserve"> </v>
      </c>
      <c r="P8" s="48"/>
      <c r="Q8" s="48"/>
      <c r="R8" s="48"/>
      <c r="S8" s="48"/>
      <c r="T8" s="167"/>
    </row>
    <row r="9" spans="2:21" ht="24" customHeight="1" x14ac:dyDescent="0.8">
      <c r="B9" s="96" t="str">
        <f t="shared" ref="B9:B15" si="0">IF(C9="","",ROW()-7)</f>
        <v/>
      </c>
      <c r="C9" s="458"/>
      <c r="D9" s="459"/>
      <c r="E9" s="459"/>
      <c r="F9" s="459"/>
      <c r="G9" s="459"/>
      <c r="H9" s="460"/>
      <c r="I9" s="99"/>
      <c r="J9" s="180" t="str">
        <f>IF(I9=0, " ", IF(I9=DataSet!F98, "จำนวน", " "))</f>
        <v xml:space="preserve"> </v>
      </c>
      <c r="K9" s="181"/>
      <c r="L9" s="182" t="str">
        <f>IF(I9=0," ",IF(I9=DataSet!F98,"ชั่วโมง"," "))</f>
        <v xml:space="preserve"> </v>
      </c>
      <c r="M9" s="183"/>
      <c r="N9" s="101" t="str">
        <f>IF(C9=0," ",IF(M9=DataSet!F25,0,IF(K9&gt;60,4,IF(I9=DataSet!F98,(K9/15),IF(I9=DataSet!F99,4,0)))))</f>
        <v xml:space="preserve"> </v>
      </c>
      <c r="P9" s="48"/>
      <c r="Q9" s="48"/>
      <c r="R9" s="48"/>
      <c r="S9" s="48"/>
      <c r="T9" s="167"/>
    </row>
    <row r="10" spans="2:21" ht="24" customHeight="1" x14ac:dyDescent="0.8">
      <c r="B10" s="96" t="str">
        <f t="shared" si="0"/>
        <v/>
      </c>
      <c r="C10" s="458"/>
      <c r="D10" s="459"/>
      <c r="E10" s="459"/>
      <c r="F10" s="459"/>
      <c r="G10" s="459"/>
      <c r="H10" s="460"/>
      <c r="I10" s="99"/>
      <c r="J10" s="180" t="str">
        <f>IF(I10=0, " ", IF(I10=DataSet!F98, "จำนวน", " "))</f>
        <v xml:space="preserve"> </v>
      </c>
      <c r="K10" s="181"/>
      <c r="L10" s="182" t="str">
        <f>IF(I10=0," ",IF(I10=DataSet!F98,"ชั่วโมง"," "))</f>
        <v xml:space="preserve"> </v>
      </c>
      <c r="M10" s="183"/>
      <c r="N10" s="101" t="str">
        <f>IF(C10=0," ",IF(M10=DataSet!F25,0,IF(K10&gt;60,4,IF(I10=DataSet!F98,(K10/15),IF(I10=DataSet!F99,4,0)))))</f>
        <v xml:space="preserve"> </v>
      </c>
      <c r="P10" s="48"/>
      <c r="Q10" s="48"/>
      <c r="R10" s="48"/>
      <c r="S10" s="48"/>
    </row>
    <row r="11" spans="2:21" ht="24" customHeight="1" x14ac:dyDescent="0.8">
      <c r="B11" s="96" t="str">
        <f t="shared" si="0"/>
        <v/>
      </c>
      <c r="C11" s="458"/>
      <c r="D11" s="459"/>
      <c r="E11" s="459"/>
      <c r="F11" s="459"/>
      <c r="G11" s="459"/>
      <c r="H11" s="460"/>
      <c r="I11" s="99"/>
      <c r="J11" s="180" t="str">
        <f>IF(I11=0, " ", IF(I11=DataSet!F98, "จำนวน", " "))</f>
        <v xml:space="preserve"> </v>
      </c>
      <c r="K11" s="181"/>
      <c r="L11" s="182" t="str">
        <f>IF(I11=0," ",IF(I11=DataSet!F98,"ชั่วโมง"," "))</f>
        <v xml:space="preserve"> </v>
      </c>
      <c r="M11" s="183"/>
      <c r="N11" s="101" t="str">
        <f>IF(C11=0," ",IF(M11=DataSet!F25,0,IF(K11&gt;60,4,IF(I11=DataSet!F98,(K11/15),IF(I11=DataSet!F99,4,0)))))</f>
        <v xml:space="preserve"> </v>
      </c>
      <c r="P11" s="48"/>
      <c r="Q11" s="48"/>
      <c r="R11" s="48"/>
      <c r="S11" s="48"/>
    </row>
    <row r="12" spans="2:21" ht="24" customHeight="1" x14ac:dyDescent="0.8">
      <c r="B12" s="96" t="str">
        <f t="shared" si="0"/>
        <v/>
      </c>
      <c r="C12" s="458"/>
      <c r="D12" s="459"/>
      <c r="E12" s="459"/>
      <c r="F12" s="459"/>
      <c r="G12" s="459"/>
      <c r="H12" s="460"/>
      <c r="I12" s="99"/>
      <c r="J12" s="180" t="str">
        <f>IF(I12=0, " ", IF(I12=DataSet!F98, "จำนวน", " "))</f>
        <v xml:space="preserve"> </v>
      </c>
      <c r="K12" s="181"/>
      <c r="L12" s="182" t="str">
        <f>IF(I12=0," ",IF(I12=DataSet!F98,"ชั่วโมง"," "))</f>
        <v xml:space="preserve"> </v>
      </c>
      <c r="M12" s="183"/>
      <c r="N12" s="101" t="str">
        <f>IF(C12=0," ",IF(M12=DataSet!F25,0,IF(K12&gt;60,4,IF(I12=DataSet!F98,(K12/15),IF(I12=DataSet!F99,4,0)))))</f>
        <v xml:space="preserve"> </v>
      </c>
      <c r="P12" s="48"/>
      <c r="Q12" s="48"/>
      <c r="R12" s="48"/>
      <c r="S12" s="48"/>
    </row>
    <row r="13" spans="2:21" ht="24" customHeight="1" x14ac:dyDescent="0.8">
      <c r="B13" s="96" t="str">
        <f t="shared" si="0"/>
        <v/>
      </c>
      <c r="C13" s="458"/>
      <c r="D13" s="459"/>
      <c r="E13" s="459"/>
      <c r="F13" s="459"/>
      <c r="G13" s="459"/>
      <c r="H13" s="460"/>
      <c r="I13" s="99"/>
      <c r="J13" s="180" t="str">
        <f>IF(I13=0, " ", IF(I13=DataSet!F98, "จำนวน", " "))</f>
        <v xml:space="preserve"> </v>
      </c>
      <c r="K13" s="181"/>
      <c r="L13" s="182" t="str">
        <f>IF(I13=0," ",IF(I13=DataSet!F98,"ชั่วโมง"," "))</f>
        <v xml:space="preserve"> </v>
      </c>
      <c r="M13" s="183"/>
      <c r="N13" s="101" t="str">
        <f>IF(C13=0," ",IF(M13=DataSet!F25,0,IF(K13&gt;60,4,IF(I13=DataSet!F98,(K13/15),IF(I13=DataSet!F99,4,0)))))</f>
        <v xml:space="preserve"> </v>
      </c>
      <c r="Q13" s="126"/>
    </row>
    <row r="14" spans="2:21" x14ac:dyDescent="0.8">
      <c r="B14" s="96" t="str">
        <f t="shared" si="0"/>
        <v/>
      </c>
      <c r="C14" s="463"/>
      <c r="D14" s="463"/>
      <c r="E14" s="463"/>
      <c r="F14" s="463"/>
      <c r="G14" s="463"/>
      <c r="H14" s="463"/>
      <c r="I14" s="99"/>
      <c r="J14" s="180" t="str">
        <f>IF(I14=0, " ", IF(I14=DataSet!F98, "จำนวน", " "))</f>
        <v xml:space="preserve"> </v>
      </c>
      <c r="K14" s="181"/>
      <c r="L14" s="182" t="str">
        <f>IF(I14=0," ",IF(I14=DataSet!F98,"ชั่วโมง"," "))</f>
        <v xml:space="preserve"> </v>
      </c>
      <c r="M14" s="183"/>
      <c r="N14" s="101" t="str">
        <f>IF(C14=0," ",IF(M14=DataSet!F25,0,IF(K14&gt;60,4,IF(I14=DataSet!F98,(K14/15),IF(I14=DataSet!F99,4,0)))))</f>
        <v xml:space="preserve"> </v>
      </c>
      <c r="Q14" s="126"/>
    </row>
    <row r="15" spans="2:21" ht="24.5" thickBot="1" x14ac:dyDescent="0.85">
      <c r="B15" s="226" t="str">
        <f t="shared" si="0"/>
        <v/>
      </c>
      <c r="C15" s="464"/>
      <c r="D15" s="464"/>
      <c r="E15" s="464"/>
      <c r="F15" s="464"/>
      <c r="G15" s="464"/>
      <c r="H15" s="464"/>
      <c r="I15" s="113"/>
      <c r="J15" s="184" t="str">
        <f>IF(I15=0, " ", IF(I15=DataSet!F98, "จำนวน", " "))</f>
        <v xml:space="preserve"> </v>
      </c>
      <c r="K15" s="185"/>
      <c r="L15" s="186" t="str">
        <f>IF(I15=0," ",IF(I15=DataSet!F98,"ชั่วโมง"," "))</f>
        <v xml:space="preserve"> </v>
      </c>
      <c r="M15" s="183"/>
      <c r="N15" s="115" t="str">
        <f>IF(C15=0," ",IF(M15=DataSet!F25,0,IF(K15&gt;60,4,IF(I15=DataSet!F98,(K15/15),IF(I15=DataSet!F99,4,0)))))</f>
        <v xml:space="preserve"> </v>
      </c>
      <c r="Q15" s="126"/>
    </row>
    <row r="16" spans="2:21" ht="7.5" customHeight="1" thickBot="1" x14ac:dyDescent="0.85"/>
    <row r="17" spans="2:20" ht="30" x14ac:dyDescent="1">
      <c r="B17" s="466" t="s">
        <v>443</v>
      </c>
      <c r="C17" s="467"/>
      <c r="D17" s="467"/>
      <c r="E17" s="467"/>
      <c r="F17" s="467"/>
      <c r="G17" s="467"/>
      <c r="H17" s="467"/>
      <c r="I17" s="468" t="s">
        <v>56</v>
      </c>
      <c r="J17" s="468"/>
      <c r="K17" s="468"/>
      <c r="L17" s="176">
        <f>SUM(N19:N26)</f>
        <v>0</v>
      </c>
      <c r="M17" s="467" t="s">
        <v>44</v>
      </c>
      <c r="N17" s="469"/>
    </row>
    <row r="18" spans="2:20" x14ac:dyDescent="0.8">
      <c r="B18" s="90" t="s">
        <v>102</v>
      </c>
      <c r="C18" s="387" t="s">
        <v>97</v>
      </c>
      <c r="D18" s="387"/>
      <c r="E18" s="387"/>
      <c r="F18" s="387"/>
      <c r="G18" s="387"/>
      <c r="H18" s="387"/>
      <c r="I18" s="92" t="s">
        <v>51</v>
      </c>
      <c r="J18" s="312" t="s">
        <v>100</v>
      </c>
      <c r="K18" s="313"/>
      <c r="L18" s="314"/>
      <c r="M18" s="178" t="s">
        <v>444</v>
      </c>
      <c r="N18" s="93" t="s">
        <v>49</v>
      </c>
    </row>
    <row r="19" spans="2:20" ht="24" customHeight="1" x14ac:dyDescent="0.8">
      <c r="B19" s="96" t="str">
        <f>IF(C19="","",ROW()-18)</f>
        <v/>
      </c>
      <c r="C19" s="461"/>
      <c r="D19" s="461"/>
      <c r="E19" s="461"/>
      <c r="F19" s="461"/>
      <c r="G19" s="461"/>
      <c r="H19" s="461"/>
      <c r="I19" s="99"/>
      <c r="J19" s="180" t="str">
        <f>IF(I19=0, " ", IF(I19=DataSet!F98, "จำนวน", " "))</f>
        <v xml:space="preserve"> </v>
      </c>
      <c r="K19" s="181"/>
      <c r="L19" s="188" t="str">
        <f>IF(I19=0," ",IF(I19=DataSet!F98,"ชั่วโมง"," "))</f>
        <v xml:space="preserve"> </v>
      </c>
      <c r="M19" s="183"/>
      <c r="N19" s="101" t="str">
        <f>IF(C19=0," ",IF(M19=DataSet!F25,0,IF(K19&gt;90,6,IF(I19=DataSet!F98,(K19/15),IF(I19=DataSet!F99,6,0)))))</f>
        <v xml:space="preserve"> </v>
      </c>
    </row>
    <row r="20" spans="2:20" x14ac:dyDescent="0.8">
      <c r="B20" s="96" t="str">
        <f t="shared" ref="B20:B26" si="1">IF(C20="","",ROW()-18)</f>
        <v/>
      </c>
      <c r="C20" s="458"/>
      <c r="D20" s="459"/>
      <c r="E20" s="459"/>
      <c r="F20" s="459"/>
      <c r="G20" s="459"/>
      <c r="H20" s="460"/>
      <c r="I20" s="99"/>
      <c r="J20" s="180" t="str">
        <f>IF(I20=0, " ", IF(I20=DataSet!F98, "จำนวน", " "))</f>
        <v xml:space="preserve"> </v>
      </c>
      <c r="K20" s="181"/>
      <c r="L20" s="188" t="str">
        <f>IF(I20=0," ",IF(I20=DataSet!F98,"ชั่วโมง"," "))</f>
        <v xml:space="preserve"> </v>
      </c>
      <c r="M20" s="183"/>
      <c r="N20" s="101" t="str">
        <f>IF(C20=0," ",IF(M20=DataSet!F25,0,IF(K20&gt;90,6,IF(I20=DataSet!F98,(K20/15),IF(I20=DataSet!F99,6,0)))))</f>
        <v xml:space="preserve"> </v>
      </c>
    </row>
    <row r="21" spans="2:20" x14ac:dyDescent="0.8">
      <c r="B21" s="96" t="str">
        <f t="shared" si="1"/>
        <v/>
      </c>
      <c r="C21" s="463"/>
      <c r="D21" s="463"/>
      <c r="E21" s="463"/>
      <c r="F21" s="463"/>
      <c r="G21" s="463"/>
      <c r="H21" s="463"/>
      <c r="I21" s="99"/>
      <c r="J21" s="189" t="str">
        <f>IF(I21=0, " ", IF(I21=DataSet!F98, "จำนวน", " "))</f>
        <v xml:space="preserve"> </v>
      </c>
      <c r="K21" s="190"/>
      <c r="L21" s="191" t="str">
        <f>IF(I21=0," ",IF(I21=DataSet!F98,"ชั่วโมง"," "))</f>
        <v xml:space="preserve"> </v>
      </c>
      <c r="M21" s="183"/>
      <c r="N21" s="101" t="str">
        <f>IF(C21=0," ",IF(M21=DataSet!F25,0,IF(K21&gt;90,6,IF(I21=DataSet!F98,(K21/15),IF(I21=DataSet!F99,6,0)))))</f>
        <v xml:space="preserve"> </v>
      </c>
    </row>
    <row r="22" spans="2:20" x14ac:dyDescent="0.8">
      <c r="B22" s="96" t="str">
        <f t="shared" si="1"/>
        <v/>
      </c>
      <c r="C22" s="461"/>
      <c r="D22" s="461"/>
      <c r="E22" s="461"/>
      <c r="F22" s="461"/>
      <c r="G22" s="461"/>
      <c r="H22" s="461"/>
      <c r="I22" s="99"/>
      <c r="J22" s="180" t="str">
        <f>IF(I22=0, " ", IF(I22=DataSet!F98, "จำนวน", " "))</f>
        <v xml:space="preserve"> </v>
      </c>
      <c r="K22" s="181"/>
      <c r="L22" s="188" t="str">
        <f>IF(I22=0," ",IF(I22=DataSet!F98,"ชั่วโมง"," "))</f>
        <v xml:space="preserve"> </v>
      </c>
      <c r="M22" s="183"/>
      <c r="N22" s="101" t="str">
        <f>IF(C22=0," ",IF(M22=DataSet!F25,0,IF(K22&gt;90,6,IF(I22=DataSet!F98,(K22/15),IF(I22=DataSet!F99,6,0)))))</f>
        <v xml:space="preserve"> </v>
      </c>
    </row>
    <row r="23" spans="2:20" x14ac:dyDescent="0.8">
      <c r="B23" s="96" t="str">
        <f t="shared" si="1"/>
        <v/>
      </c>
      <c r="C23" s="461"/>
      <c r="D23" s="461"/>
      <c r="E23" s="461"/>
      <c r="F23" s="461"/>
      <c r="G23" s="461"/>
      <c r="H23" s="461"/>
      <c r="I23" s="99"/>
      <c r="J23" s="180" t="str">
        <f>IF(I23=0, " ", IF(I23=DataSet!F98, "จำนวน", " "))</f>
        <v xml:space="preserve"> </v>
      </c>
      <c r="K23" s="181"/>
      <c r="L23" s="188" t="str">
        <f>IF(I23=0," ",IF(I23=DataSet!F98,"ชั่วโมง"," "))</f>
        <v xml:space="preserve"> </v>
      </c>
      <c r="M23" s="183"/>
      <c r="N23" s="101" t="str">
        <f>IF(C23=0," ",IF(M23=DataSet!F25,0,IF(K23&gt;90,6,IF(I23=DataSet!F98,(K23/15),IF(I23=DataSet!F99,6,0)))))</f>
        <v xml:space="preserve"> </v>
      </c>
    </row>
    <row r="24" spans="2:20" x14ac:dyDescent="0.8">
      <c r="B24" s="96" t="str">
        <f t="shared" si="1"/>
        <v/>
      </c>
      <c r="C24" s="461"/>
      <c r="D24" s="461"/>
      <c r="E24" s="461"/>
      <c r="F24" s="461"/>
      <c r="G24" s="461"/>
      <c r="H24" s="461"/>
      <c r="I24" s="99"/>
      <c r="J24" s="180" t="str">
        <f>IF(I24=0, " ", IF(I24=DataSet!F98, "จำนวน", " "))</f>
        <v xml:space="preserve"> </v>
      </c>
      <c r="K24" s="181"/>
      <c r="L24" s="188" t="str">
        <f>IF(I24=0," ",IF(I24=DataSet!F98,"ชั่วโมง"," "))</f>
        <v xml:space="preserve"> </v>
      </c>
      <c r="M24" s="183"/>
      <c r="N24" s="101" t="str">
        <f>IF(C24=0," ",IF(M24=DataSet!F25,0,IF(K24&gt;90,6,IF(I24=DataSet!F98,(K24/15),IF(I24=DataSet!F99,6,0)))))</f>
        <v xml:space="preserve"> </v>
      </c>
    </row>
    <row r="25" spans="2:20" x14ac:dyDescent="0.8">
      <c r="B25" s="96" t="str">
        <f t="shared" si="1"/>
        <v/>
      </c>
      <c r="C25" s="461"/>
      <c r="D25" s="461"/>
      <c r="E25" s="461"/>
      <c r="F25" s="461"/>
      <c r="G25" s="461"/>
      <c r="H25" s="461"/>
      <c r="I25" s="99"/>
      <c r="J25" s="189" t="str">
        <f>IF(I25=0, " ", IF(I25=DataSet!F98, "จำนวน", " "))</f>
        <v xml:space="preserve"> </v>
      </c>
      <c r="K25" s="190"/>
      <c r="L25" s="191" t="str">
        <f>IF(I25=0," ",IF(I25=DataSet!F98,"ชั่วโมง"," "))</f>
        <v xml:space="preserve"> </v>
      </c>
      <c r="M25" s="183"/>
      <c r="N25" s="101" t="str">
        <f>IF(C25=0," ",IF(M25=DataSet!F25,0,IF(K25&gt;90,6,IF(I25=DataSet!F98,(K25/15),IF(I25=DataSet!F99,6,0)))))</f>
        <v xml:space="preserve"> </v>
      </c>
    </row>
    <row r="26" spans="2:20" ht="24.5" thickBot="1" x14ac:dyDescent="0.85">
      <c r="B26" s="96" t="str">
        <f t="shared" si="1"/>
        <v/>
      </c>
      <c r="C26" s="462"/>
      <c r="D26" s="462"/>
      <c r="E26" s="462"/>
      <c r="F26" s="462"/>
      <c r="G26" s="462"/>
      <c r="H26" s="462"/>
      <c r="I26" s="113"/>
      <c r="J26" s="184" t="str">
        <f>IF(I26=0, " ", IF(I26=DataSet!F98, "จำนวน", " "))</f>
        <v xml:space="preserve"> </v>
      </c>
      <c r="K26" s="185"/>
      <c r="L26" s="192" t="str">
        <f>IF(I26=0," ",IF(I26=DataSet!F98,"ชั่วโมง"," "))</f>
        <v xml:space="preserve"> </v>
      </c>
      <c r="M26" s="187"/>
      <c r="N26" s="115" t="str">
        <f>IF(C26=0," ",IF(M26=DataSet!F25,0,IF(K26&gt;90,6,IF(I26=DataSet!F98,(K26/15),IF(I26=DataSet!F99,6,0)))))</f>
        <v xml:space="preserve"> </v>
      </c>
    </row>
    <row r="28" spans="2:20" s="74" customFormat="1" x14ac:dyDescent="0.8">
      <c r="D28" s="123"/>
      <c r="E28" s="123"/>
      <c r="J28" s="123"/>
      <c r="K28" s="123"/>
      <c r="L28" s="172"/>
      <c r="T28" s="123"/>
    </row>
    <row r="29" spans="2:20" s="74" customFormat="1" x14ac:dyDescent="0.8">
      <c r="J29" s="123"/>
      <c r="K29" s="123"/>
      <c r="L29" s="172"/>
      <c r="T29" s="123"/>
    </row>
    <row r="30" spans="2:20" s="74" customFormat="1" ht="27" x14ac:dyDescent="0.9">
      <c r="C30" s="105"/>
      <c r="D30" s="105"/>
      <c r="F30" s="105"/>
      <c r="J30" s="123"/>
      <c r="K30" s="123"/>
      <c r="L30" s="172"/>
      <c r="T30" s="123"/>
    </row>
    <row r="31" spans="2:20" s="74" customFormat="1" x14ac:dyDescent="0.8">
      <c r="J31" s="123"/>
      <c r="K31" s="123"/>
      <c r="L31" s="172"/>
      <c r="T31" s="123"/>
    </row>
    <row r="32" spans="2:20" s="74" customFormat="1" x14ac:dyDescent="0.8">
      <c r="J32" s="123"/>
      <c r="K32" s="123"/>
      <c r="L32" s="172"/>
      <c r="T32" s="123"/>
    </row>
    <row r="33" spans="4:20" s="74" customFormat="1" x14ac:dyDescent="0.8">
      <c r="J33" s="123"/>
      <c r="K33" s="123"/>
      <c r="L33" s="172"/>
      <c r="T33" s="123"/>
    </row>
    <row r="34" spans="4:20" s="74" customFormat="1" x14ac:dyDescent="0.8">
      <c r="D34" s="123"/>
      <c r="E34" s="123"/>
      <c r="J34" s="123"/>
      <c r="K34" s="123"/>
      <c r="L34" s="172"/>
      <c r="T34" s="123"/>
    </row>
    <row r="35" spans="4:20" s="74" customFormat="1" x14ac:dyDescent="0.8">
      <c r="D35" s="123"/>
      <c r="E35" s="123"/>
      <c r="J35" s="123"/>
      <c r="K35" s="123"/>
      <c r="L35" s="172"/>
      <c r="T35" s="123"/>
    </row>
    <row r="36" spans="4:20" s="74" customFormat="1" x14ac:dyDescent="0.8">
      <c r="D36" s="123"/>
      <c r="E36" s="123"/>
      <c r="J36" s="123"/>
      <c r="K36" s="123"/>
      <c r="L36" s="172"/>
      <c r="T36" s="123"/>
    </row>
    <row r="37" spans="4:20" s="74" customFormat="1" x14ac:dyDescent="0.8">
      <c r="D37" s="123"/>
      <c r="E37" s="123"/>
      <c r="J37" s="123"/>
      <c r="K37" s="123"/>
      <c r="L37" s="172"/>
      <c r="T37" s="123"/>
    </row>
    <row r="38" spans="4:20" s="74" customFormat="1" x14ac:dyDescent="0.8">
      <c r="D38" s="123"/>
      <c r="E38" s="123"/>
      <c r="J38" s="123"/>
      <c r="K38" s="123"/>
      <c r="L38" s="172"/>
      <c r="T38" s="123"/>
    </row>
    <row r="39" spans="4:20" s="74" customFormat="1" x14ac:dyDescent="0.8">
      <c r="D39" s="123"/>
      <c r="E39" s="123"/>
      <c r="J39" s="123"/>
      <c r="K39" s="123"/>
      <c r="L39" s="172"/>
      <c r="T39" s="123"/>
    </row>
    <row r="40" spans="4:20" s="74" customFormat="1" x14ac:dyDescent="0.8">
      <c r="D40" s="123"/>
      <c r="E40" s="123"/>
      <c r="J40" s="123"/>
      <c r="K40" s="123"/>
      <c r="L40" s="172"/>
      <c r="T40" s="123"/>
    </row>
    <row r="41" spans="4:20" s="74" customFormat="1" x14ac:dyDescent="0.8">
      <c r="D41" s="123"/>
      <c r="E41" s="123"/>
      <c r="J41" s="123"/>
      <c r="K41" s="123"/>
      <c r="L41" s="172"/>
      <c r="T41" s="123"/>
    </row>
    <row r="42" spans="4:20" s="74" customFormat="1" x14ac:dyDescent="0.8">
      <c r="D42" s="123"/>
      <c r="E42" s="123"/>
      <c r="J42" s="123"/>
      <c r="K42" s="123"/>
      <c r="L42" s="172"/>
      <c r="T42" s="123"/>
    </row>
    <row r="43" spans="4:20" s="74" customFormat="1" x14ac:dyDescent="0.8">
      <c r="D43" s="123"/>
      <c r="E43" s="123"/>
      <c r="J43" s="123"/>
      <c r="K43" s="123"/>
      <c r="L43" s="172"/>
      <c r="T43" s="123"/>
    </row>
    <row r="44" spans="4:20" s="74" customFormat="1" x14ac:dyDescent="0.8">
      <c r="D44" s="123"/>
      <c r="E44" s="123"/>
      <c r="J44" s="123"/>
      <c r="K44" s="123"/>
      <c r="L44" s="172"/>
      <c r="T44" s="123"/>
    </row>
    <row r="45" spans="4:20" s="74" customFormat="1" x14ac:dyDescent="0.8">
      <c r="D45" s="123"/>
      <c r="E45" s="123"/>
      <c r="J45" s="123"/>
      <c r="K45" s="123"/>
      <c r="L45" s="172"/>
      <c r="T45" s="123"/>
    </row>
    <row r="46" spans="4:20" s="74" customFormat="1" x14ac:dyDescent="0.8">
      <c r="D46" s="123"/>
      <c r="E46" s="123"/>
      <c r="J46" s="123"/>
      <c r="K46" s="123"/>
      <c r="L46" s="172"/>
      <c r="T46" s="123"/>
    </row>
    <row r="47" spans="4:20" s="74" customFormat="1" x14ac:dyDescent="0.8">
      <c r="D47" s="123"/>
      <c r="E47" s="123"/>
      <c r="J47" s="123"/>
      <c r="K47" s="123"/>
      <c r="L47" s="172"/>
      <c r="T47" s="123"/>
    </row>
    <row r="48" spans="4:20" s="74" customFormat="1" x14ac:dyDescent="0.8">
      <c r="D48" s="123"/>
      <c r="E48" s="123"/>
      <c r="J48" s="123"/>
      <c r="K48" s="123"/>
      <c r="L48" s="172"/>
      <c r="T48" s="123"/>
    </row>
    <row r="49" spans="4:20" s="74" customFormat="1" x14ac:dyDescent="0.8">
      <c r="D49" s="123"/>
      <c r="E49" s="123"/>
      <c r="J49" s="123"/>
      <c r="K49" s="123"/>
      <c r="L49" s="172"/>
      <c r="T49" s="123"/>
    </row>
    <row r="50" spans="4:20" s="74" customFormat="1" x14ac:dyDescent="0.8">
      <c r="D50" s="123"/>
      <c r="E50" s="123"/>
      <c r="J50" s="123"/>
      <c r="K50" s="123"/>
      <c r="L50" s="172"/>
      <c r="T50" s="123"/>
    </row>
    <row r="51" spans="4:20" s="74" customFormat="1" x14ac:dyDescent="0.8">
      <c r="D51" s="123"/>
      <c r="E51" s="123"/>
      <c r="J51" s="123"/>
      <c r="K51" s="123"/>
      <c r="L51" s="172"/>
      <c r="T51" s="123"/>
    </row>
    <row r="52" spans="4:20" s="74" customFormat="1" x14ac:dyDescent="0.8">
      <c r="D52" s="123"/>
      <c r="E52" s="123"/>
      <c r="J52" s="123"/>
      <c r="K52" s="123"/>
      <c r="L52" s="172"/>
      <c r="T52" s="123"/>
    </row>
    <row r="53" spans="4:20" s="74" customFormat="1" x14ac:dyDescent="0.8">
      <c r="D53" s="123"/>
      <c r="E53" s="123"/>
      <c r="J53" s="123"/>
      <c r="K53" s="123"/>
      <c r="L53" s="172"/>
      <c r="T53" s="123"/>
    </row>
    <row r="54" spans="4:20" s="74" customFormat="1" x14ac:dyDescent="0.8">
      <c r="D54" s="123"/>
      <c r="E54" s="123"/>
      <c r="J54" s="123"/>
      <c r="K54" s="123"/>
      <c r="L54" s="172"/>
      <c r="T54" s="123"/>
    </row>
    <row r="55" spans="4:20" s="74" customFormat="1" x14ac:dyDescent="0.8">
      <c r="D55" s="123"/>
      <c r="E55" s="123"/>
      <c r="J55" s="123"/>
      <c r="K55" s="123"/>
      <c r="L55" s="172"/>
      <c r="T55" s="123"/>
    </row>
    <row r="56" spans="4:20" s="74" customFormat="1" x14ac:dyDescent="0.8">
      <c r="D56" s="123"/>
      <c r="E56" s="123"/>
      <c r="J56" s="123"/>
      <c r="K56" s="123"/>
      <c r="L56" s="172"/>
      <c r="T56" s="123"/>
    </row>
    <row r="57" spans="4:20" s="74" customFormat="1" x14ac:dyDescent="0.8">
      <c r="D57" s="123"/>
      <c r="E57" s="123"/>
      <c r="J57" s="123"/>
      <c r="K57" s="123"/>
      <c r="L57" s="172"/>
      <c r="T57" s="123"/>
    </row>
    <row r="58" spans="4:20" s="74" customFormat="1" x14ac:dyDescent="0.8">
      <c r="D58" s="123"/>
      <c r="E58" s="123"/>
      <c r="J58" s="123"/>
      <c r="K58" s="123"/>
      <c r="L58" s="172"/>
      <c r="T58" s="123"/>
    </row>
    <row r="59" spans="4:20" s="74" customFormat="1" x14ac:dyDescent="0.8">
      <c r="D59" s="123"/>
      <c r="E59" s="123"/>
      <c r="J59" s="123"/>
      <c r="K59" s="123"/>
      <c r="L59" s="172"/>
      <c r="T59" s="123"/>
    </row>
    <row r="60" spans="4:20" s="74" customFormat="1" x14ac:dyDescent="0.8">
      <c r="D60" s="123"/>
      <c r="E60" s="123"/>
      <c r="J60" s="123"/>
      <c r="K60" s="123"/>
      <c r="L60" s="172"/>
      <c r="T60" s="123"/>
    </row>
    <row r="61" spans="4:20" s="74" customFormat="1" x14ac:dyDescent="0.8">
      <c r="D61" s="123"/>
      <c r="E61" s="123"/>
      <c r="J61" s="123"/>
      <c r="K61" s="123"/>
      <c r="L61" s="172"/>
      <c r="T61" s="123"/>
    </row>
    <row r="62" spans="4:20" s="74" customFormat="1" x14ac:dyDescent="0.8">
      <c r="D62" s="123"/>
      <c r="E62" s="123"/>
      <c r="J62" s="123"/>
      <c r="K62" s="123"/>
      <c r="L62" s="172"/>
      <c r="T62" s="123"/>
    </row>
    <row r="63" spans="4:20" s="74" customFormat="1" x14ac:dyDescent="0.8">
      <c r="D63" s="123"/>
      <c r="E63" s="123"/>
      <c r="J63" s="123"/>
      <c r="K63" s="123"/>
      <c r="L63" s="172"/>
      <c r="T63" s="123"/>
    </row>
    <row r="64" spans="4:20" s="74" customFormat="1" x14ac:dyDescent="0.8">
      <c r="D64" s="123"/>
      <c r="E64" s="123"/>
      <c r="J64" s="123"/>
      <c r="K64" s="123"/>
      <c r="L64" s="172"/>
      <c r="T64" s="123"/>
    </row>
    <row r="65" spans="4:20" s="74" customFormat="1" x14ac:dyDescent="0.8">
      <c r="D65" s="123"/>
      <c r="E65" s="123"/>
      <c r="J65" s="123"/>
      <c r="K65" s="123"/>
      <c r="L65" s="172"/>
      <c r="T65" s="123"/>
    </row>
    <row r="66" spans="4:20" s="74" customFormat="1" x14ac:dyDescent="0.8">
      <c r="D66" s="123"/>
      <c r="E66" s="123"/>
      <c r="J66" s="123"/>
      <c r="K66" s="123"/>
      <c r="L66" s="172"/>
      <c r="T66" s="123"/>
    </row>
    <row r="67" spans="4:20" s="74" customFormat="1" x14ac:dyDescent="0.8">
      <c r="D67" s="123"/>
      <c r="E67" s="123"/>
      <c r="J67" s="123"/>
      <c r="K67" s="123"/>
      <c r="L67" s="172"/>
      <c r="T67" s="123"/>
    </row>
    <row r="68" spans="4:20" s="74" customFormat="1" x14ac:dyDescent="0.8">
      <c r="D68" s="123"/>
      <c r="E68" s="123"/>
      <c r="J68" s="123"/>
      <c r="K68" s="123"/>
      <c r="L68" s="172"/>
      <c r="T68" s="123"/>
    </row>
  </sheetData>
  <sheetProtection selectLockedCells="1"/>
  <mergeCells count="30">
    <mergeCell ref="J18:L18"/>
    <mergeCell ref="C20:H20"/>
    <mergeCell ref="C21:H21"/>
    <mergeCell ref="C22:H22"/>
    <mergeCell ref="C23:H23"/>
    <mergeCell ref="B1:I1"/>
    <mergeCell ref="J1:K1"/>
    <mergeCell ref="B17:H17"/>
    <mergeCell ref="I17:K17"/>
    <mergeCell ref="M17:N17"/>
    <mergeCell ref="J7:L7"/>
    <mergeCell ref="B2:N2"/>
    <mergeCell ref="B4:N4"/>
    <mergeCell ref="B6:H6"/>
    <mergeCell ref="I6:K6"/>
    <mergeCell ref="M6:N6"/>
    <mergeCell ref="C7:H7"/>
    <mergeCell ref="C8:H8"/>
    <mergeCell ref="C9:H9"/>
    <mergeCell ref="C10:H10"/>
    <mergeCell ref="C11:H11"/>
    <mergeCell ref="C12:H12"/>
    <mergeCell ref="C25:H25"/>
    <mergeCell ref="C26:H26"/>
    <mergeCell ref="C13:H13"/>
    <mergeCell ref="C14:H14"/>
    <mergeCell ref="C15:H15"/>
    <mergeCell ref="C18:H18"/>
    <mergeCell ref="C19:H19"/>
    <mergeCell ref="C24:H24"/>
  </mergeCells>
  <phoneticPr fontId="8" type="noConversion"/>
  <conditionalFormatting sqref="L6">
    <cfRule type="cellIs" dxfId="9" priority="2" operator="greaterThan">
      <formula>0</formula>
    </cfRule>
  </conditionalFormatting>
  <conditionalFormatting sqref="L17">
    <cfRule type="cellIs" dxfId="8" priority="1" operator="greaterThan">
      <formula>0</formula>
    </cfRule>
  </conditionalFormatting>
  <dataValidations count="1">
    <dataValidation type="list" allowBlank="1" showInputMessage="1" showErrorMessage="1" sqref="M19:M26 M8:M15" xr:uid="{00000000-0002-0000-0500-000000000000}">
      <formula1>"OKR1,OKR2,OKR3,OKR4,OKR5"</formula1>
    </dataValidation>
  </dataValidations>
  <pageMargins left="0.39" right="0.28999999999999998" top="0.52" bottom="0.34" header="0.3" footer="0.3"/>
  <pageSetup scale="74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3000000}">
          <x14:formula1>
            <xm:f>DataSet!$F$98:$F$99</xm:f>
          </x14:formula1>
          <xm:sqref>I19:I26 I8:I15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F0"/>
    <pageSetUpPr fitToPage="1"/>
  </sheetPr>
  <dimension ref="B1:AH92"/>
  <sheetViews>
    <sheetView zoomScaleNormal="100" workbookViewId="0">
      <pane ySplit="6" topLeftCell="A58" activePane="bottomLeft" state="frozen"/>
      <selection pane="bottomLeft"/>
    </sheetView>
  </sheetViews>
  <sheetFormatPr defaultColWidth="9" defaultRowHeight="24" x14ac:dyDescent="0.8"/>
  <cols>
    <col min="1" max="1" width="3.6640625" style="48" customWidth="1"/>
    <col min="2" max="2" width="3.9140625" style="48" customWidth="1"/>
    <col min="3" max="3" width="3.08203125" style="48" customWidth="1"/>
    <col min="4" max="4" width="3.6640625" style="119" customWidth="1"/>
    <col min="5" max="5" width="3.1640625" style="119" customWidth="1"/>
    <col min="6" max="6" width="12.4140625" style="48" customWidth="1"/>
    <col min="7" max="7" width="13.6640625" style="48" customWidth="1"/>
    <col min="8" max="8" width="26.83203125" style="48" customWidth="1"/>
    <col min="9" max="9" width="7.9140625" style="48" customWidth="1"/>
    <col min="10" max="12" width="7.9140625" style="119" customWidth="1"/>
    <col min="13" max="13" width="5" style="174" customWidth="1"/>
    <col min="14" max="14" width="5" style="48" customWidth="1"/>
    <col min="15" max="15" width="9.6640625" style="175" customWidth="1"/>
    <col min="16" max="16" width="8.33203125" style="74" customWidth="1"/>
    <col min="17" max="18" width="7.08203125" style="79" hidden="1" customWidth="1"/>
    <col min="19" max="19" width="6.83203125" style="83" hidden="1" customWidth="1"/>
    <col min="20" max="21" width="5.83203125" style="83" hidden="1" customWidth="1"/>
    <col min="22" max="22" width="5.83203125" style="79" hidden="1" customWidth="1"/>
    <col min="23" max="24" width="9" style="79" hidden="1" customWidth="1"/>
    <col min="25" max="27" width="9" style="74" hidden="1" customWidth="1"/>
    <col min="28" max="28" width="9" style="48" hidden="1" customWidth="1"/>
    <col min="29" max="29" width="3.83203125" style="48" hidden="1" customWidth="1"/>
    <col min="30" max="33" width="0" style="48" hidden="1" customWidth="1"/>
    <col min="34" max="34" width="10.83203125" style="48" customWidth="1"/>
    <col min="35" max="16384" width="9" style="48"/>
  </cols>
  <sheetData>
    <row r="1" spans="2:34" ht="26.25" customHeight="1" x14ac:dyDescent="1">
      <c r="B1" s="308" t="s">
        <v>50</v>
      </c>
      <c r="C1" s="308"/>
      <c r="D1" s="308"/>
      <c r="E1" s="308"/>
      <c r="F1" s="308"/>
      <c r="G1" s="308"/>
      <c r="H1" s="308"/>
      <c r="I1" s="86">
        <f>DataSet!H5</f>
        <v>2569</v>
      </c>
      <c r="J1" s="87"/>
      <c r="L1" s="87"/>
      <c r="M1" s="87"/>
      <c r="N1" s="87"/>
    </row>
    <row r="2" spans="2:34" ht="26.25" customHeight="1" x14ac:dyDescent="0.8">
      <c r="B2" s="307" t="s">
        <v>38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193"/>
      <c r="R2" s="193"/>
    </row>
    <row r="3" spans="2:34" ht="9.75" customHeight="1" thickBot="1" x14ac:dyDescent="0.85"/>
    <row r="4" spans="2:34" ht="30.5" thickBot="1" x14ac:dyDescent="1.05">
      <c r="B4" s="521" t="s">
        <v>204</v>
      </c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3"/>
      <c r="Q4" s="194"/>
      <c r="R4" s="194"/>
      <c r="AH4" s="227"/>
    </row>
    <row r="5" spans="2:34" ht="12" customHeight="1" thickBot="1" x14ac:dyDescent="1.05"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</row>
    <row r="6" spans="2:34" s="89" customFormat="1" ht="30.5" thickBot="1" x14ac:dyDescent="1.05">
      <c r="B6" s="195" t="s">
        <v>22</v>
      </c>
      <c r="C6" s="196"/>
      <c r="D6" s="196"/>
      <c r="E6" s="196"/>
      <c r="F6" s="196"/>
      <c r="G6" s="196"/>
      <c r="H6" s="197" t="s">
        <v>221</v>
      </c>
      <c r="I6" s="519" t="s">
        <v>205</v>
      </c>
      <c r="J6" s="520"/>
      <c r="K6" s="198">
        <f>SUM(K7,K18,K26,K34,K41,K49,K57)</f>
        <v>50</v>
      </c>
      <c r="L6" s="199" t="s">
        <v>16</v>
      </c>
      <c r="M6" s="524" t="s">
        <v>219</v>
      </c>
      <c r="N6" s="524"/>
      <c r="O6" s="200">
        <f>SUM(O7,O18,O26,O34,O41,O49,O57)</f>
        <v>0</v>
      </c>
      <c r="P6" s="201" t="s">
        <v>16</v>
      </c>
      <c r="Q6" s="82"/>
      <c r="R6" s="82"/>
      <c r="S6" s="202"/>
      <c r="T6" s="202"/>
      <c r="U6" s="202"/>
      <c r="V6" s="82"/>
      <c r="W6" s="82"/>
      <c r="X6" s="82"/>
      <c r="Y6" s="105"/>
      <c r="Z6" s="105"/>
      <c r="AA6" s="105"/>
    </row>
    <row r="7" spans="2:34" ht="24" customHeight="1" thickBot="1" x14ac:dyDescent="0.85">
      <c r="B7" s="503" t="s">
        <v>258</v>
      </c>
      <c r="C7" s="504"/>
      <c r="D7" s="504"/>
      <c r="E7" s="504"/>
      <c r="F7" s="504"/>
      <c r="G7" s="504"/>
      <c r="H7" s="504"/>
      <c r="I7" s="474" t="s">
        <v>205</v>
      </c>
      <c r="J7" s="475"/>
      <c r="K7" s="203">
        <f>(SUM(L10:L17)*2)/8</f>
        <v>2</v>
      </c>
      <c r="L7" s="204" t="s">
        <v>16</v>
      </c>
      <c r="M7" s="505" t="s">
        <v>219</v>
      </c>
      <c r="N7" s="506"/>
      <c r="O7" s="205">
        <f>(SUM(P10:P17)*4)/6</f>
        <v>0</v>
      </c>
      <c r="P7" s="206" t="s">
        <v>16</v>
      </c>
      <c r="Q7" s="207"/>
      <c r="R7" s="207"/>
      <c r="U7" s="85"/>
    </row>
    <row r="8" spans="2:34" s="95" customFormat="1" ht="24.75" customHeight="1" x14ac:dyDescent="0.8">
      <c r="B8" s="496" t="s">
        <v>102</v>
      </c>
      <c r="C8" s="484" t="s">
        <v>223</v>
      </c>
      <c r="D8" s="484"/>
      <c r="E8" s="484"/>
      <c r="F8" s="484"/>
      <c r="G8" s="484"/>
      <c r="H8" s="484"/>
      <c r="I8" s="489" t="s">
        <v>205</v>
      </c>
      <c r="J8" s="490"/>
      <c r="K8" s="490"/>
      <c r="L8" s="494" t="s">
        <v>16</v>
      </c>
      <c r="M8" s="528" t="s">
        <v>220</v>
      </c>
      <c r="N8" s="529"/>
      <c r="O8" s="529"/>
      <c r="P8" s="491" t="s">
        <v>16</v>
      </c>
      <c r="Q8" s="208"/>
      <c r="R8" s="208"/>
      <c r="S8" s="84"/>
      <c r="T8" s="84"/>
      <c r="U8" s="85"/>
      <c r="V8" s="84"/>
      <c r="W8" s="84"/>
      <c r="X8" s="84"/>
      <c r="Y8" s="106"/>
      <c r="Z8" s="106"/>
      <c r="AA8" s="106"/>
    </row>
    <row r="9" spans="2:34" s="95" customFormat="1" ht="24.5" thickBot="1" x14ac:dyDescent="0.85">
      <c r="B9" s="497"/>
      <c r="C9" s="487"/>
      <c r="D9" s="487"/>
      <c r="E9" s="487"/>
      <c r="F9" s="487"/>
      <c r="G9" s="487"/>
      <c r="H9" s="487"/>
      <c r="I9" s="209" t="s">
        <v>214</v>
      </c>
      <c r="J9" s="288"/>
      <c r="K9" s="211" t="s">
        <v>213</v>
      </c>
      <c r="L9" s="509"/>
      <c r="M9" s="530"/>
      <c r="N9" s="531"/>
      <c r="O9" s="531"/>
      <c r="P9" s="498"/>
      <c r="Q9" s="84"/>
      <c r="R9" s="208" t="s">
        <v>214</v>
      </c>
      <c r="S9" s="208" t="s">
        <v>227</v>
      </c>
      <c r="T9" s="84" t="s">
        <v>213</v>
      </c>
      <c r="U9" s="84" t="s">
        <v>215</v>
      </c>
      <c r="V9" s="212" t="s">
        <v>216</v>
      </c>
      <c r="W9" s="84" t="s">
        <v>217</v>
      </c>
      <c r="X9" s="84"/>
      <c r="Y9" s="106"/>
      <c r="Z9" s="106"/>
      <c r="AA9" s="106"/>
      <c r="AD9" s="213"/>
    </row>
    <row r="10" spans="2:34" x14ac:dyDescent="0.8">
      <c r="B10" s="214">
        <v>1</v>
      </c>
      <c r="C10" s="525" t="s">
        <v>259</v>
      </c>
      <c r="D10" s="525"/>
      <c r="E10" s="525"/>
      <c r="F10" s="525"/>
      <c r="G10" s="525"/>
      <c r="H10" s="526"/>
      <c r="I10" s="228" t="b">
        <v>1</v>
      </c>
      <c r="J10" s="232"/>
      <c r="K10" s="229" t="b">
        <v>0</v>
      </c>
      <c r="L10" s="218">
        <f t="shared" ref="L10:L17" si="0">IF(I10=TRUE,1,IF(J10=TRUE,0.5,IF(K10=TRUE,0,0)))</f>
        <v>1</v>
      </c>
      <c r="M10" s="532"/>
      <c r="N10" s="507"/>
      <c r="O10" s="507"/>
      <c r="P10" s="216">
        <f>IF(I10=1,'5-พฤติกรรมการปฏิบัติงาน'!U10,IF(J10=1,'5-พฤติกรรมการปฏิบัติงาน'!V10,IF(K10=1,'5-พฤติกรรมการปฏิบัติงาน'!W10,0)))</f>
        <v>0</v>
      </c>
      <c r="Q10" s="83"/>
      <c r="R10" s="83">
        <v>1</v>
      </c>
      <c r="S10" s="83">
        <v>0.5</v>
      </c>
      <c r="T10" s="83">
        <v>0</v>
      </c>
      <c r="U10" s="217">
        <f>IF('5-พฤติกรรมการปฏิบัติงาน'!M10=DataSet!F101,R10,IF('5-พฤติกรรมการปฏิบัติงาน'!M10=DataSet!F102,R10,IF('5-พฤติกรรมการปฏิบัติงาน'!M10=DataSet!F103,S10,0)))</f>
        <v>0</v>
      </c>
      <c r="V10" s="217">
        <f>IF('5-พฤติกรรมการปฏิบัติงาน'!M10=DataSet!F101,S10,IF('5-พฤติกรรมการปฏิบัติงาน'!M10=DataSet!F102,R10,IF('5-พฤติกรรมการปฏิบัติงาน'!M10=DataSet!F103,T10,0)))</f>
        <v>0</v>
      </c>
      <c r="W10" s="217">
        <f>IF('5-พฤติกรรมการปฏิบัติงาน'!M10=DataSet!F101,T10,IF('5-พฤติกรรมการปฏิบัติงาน'!M10=DataSet!F102,S10,IF('5-พฤติกรรมการปฏิบัติงาน'!M10=DataSet!F103,T10,0)))</f>
        <v>0</v>
      </c>
      <c r="AD10" s="74"/>
    </row>
    <row r="11" spans="2:34" x14ac:dyDescent="0.8">
      <c r="B11" s="96">
        <v>2</v>
      </c>
      <c r="C11" s="527" t="s">
        <v>260</v>
      </c>
      <c r="D11" s="527"/>
      <c r="E11" s="527"/>
      <c r="F11" s="527"/>
      <c r="G11" s="527"/>
      <c r="H11" s="429"/>
      <c r="I11" s="230" t="b">
        <v>1</v>
      </c>
      <c r="J11" s="233"/>
      <c r="K11" s="231" t="b">
        <v>0</v>
      </c>
      <c r="L11" s="218">
        <f t="shared" si="0"/>
        <v>1</v>
      </c>
      <c r="M11" s="513"/>
      <c r="N11" s="471"/>
      <c r="O11" s="471"/>
      <c r="P11" s="219">
        <f>IF(I11=1,'5-พฤติกรรมการปฏิบัติงาน'!U11,IF(J11=1,'5-พฤติกรรมการปฏิบัติงาน'!V11,IF(K11=1,'5-พฤติกรรมการปฏิบัติงาน'!W11,0)))</f>
        <v>0</v>
      </c>
      <c r="R11" s="83">
        <v>1</v>
      </c>
      <c r="S11" s="83">
        <v>0.5</v>
      </c>
      <c r="T11" s="83">
        <v>0</v>
      </c>
      <c r="U11" s="217">
        <f>IF('5-พฤติกรรมการปฏิบัติงาน'!M11=DataSet!F101,R11,IF('5-พฤติกรรมการปฏิบัติงาน'!M11=DataSet!F102,R11,IF('5-พฤติกรรมการปฏิบัติงาน'!M11=DataSet!F103,S11,0)))</f>
        <v>0</v>
      </c>
      <c r="V11" s="217">
        <f>IF('5-พฤติกรรมการปฏิบัติงาน'!M11=DataSet!F101,S11,IF('5-พฤติกรรมการปฏิบัติงาน'!M11=DataSet!F102,R11,IF('5-พฤติกรรมการปฏิบัติงาน'!M11=DataSet!F103,T11,0)))</f>
        <v>0</v>
      </c>
      <c r="W11" s="217">
        <f>IF('5-พฤติกรรมการปฏิบัติงาน'!M11=DataSet!F101,T11,IF('5-พฤติกรรมการปฏิบัติงาน'!M11=DataSet!F102,S11,IF('5-พฤติกรรมการปฏิบัติงาน'!M11=DataSet!F103,T11,0)))</f>
        <v>0</v>
      </c>
      <c r="AD11" s="74"/>
    </row>
    <row r="12" spans="2:34" x14ac:dyDescent="0.8">
      <c r="B12" s="96">
        <v>3</v>
      </c>
      <c r="C12" s="527" t="s">
        <v>261</v>
      </c>
      <c r="D12" s="527"/>
      <c r="E12" s="527"/>
      <c r="F12" s="527"/>
      <c r="G12" s="527"/>
      <c r="H12" s="429"/>
      <c r="I12" s="230" t="b">
        <v>1</v>
      </c>
      <c r="J12" s="233"/>
      <c r="K12" s="231" t="b">
        <v>0</v>
      </c>
      <c r="L12" s="218">
        <f t="shared" si="0"/>
        <v>1</v>
      </c>
      <c r="M12" s="513"/>
      <c r="N12" s="471"/>
      <c r="O12" s="471"/>
      <c r="P12" s="219">
        <f>IF(I12=1,'5-พฤติกรรมการปฏิบัติงาน'!U12,IF(J12=1,'5-พฤติกรรมการปฏิบัติงาน'!V12,IF(K12=1,'5-พฤติกรรมการปฏิบัติงาน'!W12,0)))</f>
        <v>0</v>
      </c>
      <c r="R12" s="83">
        <v>1</v>
      </c>
      <c r="S12" s="83">
        <v>0.5</v>
      </c>
      <c r="T12" s="83">
        <v>0</v>
      </c>
      <c r="U12" s="217">
        <f>IF('5-พฤติกรรมการปฏิบัติงาน'!M12=DataSet!F101,R12,IF('5-พฤติกรรมการปฏิบัติงาน'!M12=DataSet!F102,R12,IF('5-พฤติกรรมการปฏิบัติงาน'!M12=DataSet!F103,S12,0)))</f>
        <v>0</v>
      </c>
      <c r="V12" s="217">
        <f>IF('5-พฤติกรรมการปฏิบัติงาน'!M12=DataSet!F101,S12,IF('5-พฤติกรรมการปฏิบัติงาน'!M12=DataSet!F102,R12,IF('5-พฤติกรรมการปฏิบัติงาน'!M12=DataSet!F103,T12,0)))</f>
        <v>0</v>
      </c>
      <c r="W12" s="217">
        <f>IF('5-พฤติกรรมการปฏิบัติงาน'!M12=DataSet!F101,T12,IF('5-พฤติกรรมการปฏิบัติงาน'!M12=DataSet!F102,S12,IF('5-พฤติกรรมการปฏิบัติงาน'!M12=DataSet!F103,T12,0)))</f>
        <v>0</v>
      </c>
    </row>
    <row r="13" spans="2:34" s="74" customFormat="1" x14ac:dyDescent="0.8">
      <c r="B13" s="96">
        <v>4</v>
      </c>
      <c r="C13" s="516" t="s">
        <v>404</v>
      </c>
      <c r="D13" s="516"/>
      <c r="E13" s="516"/>
      <c r="F13" s="516"/>
      <c r="G13" s="516"/>
      <c r="H13" s="427"/>
      <c r="I13" s="230" t="b">
        <v>1</v>
      </c>
      <c r="J13" s="233"/>
      <c r="K13" s="231" t="b">
        <v>0</v>
      </c>
      <c r="L13" s="218">
        <f t="shared" si="0"/>
        <v>1</v>
      </c>
      <c r="M13" s="513"/>
      <c r="N13" s="471"/>
      <c r="O13" s="471"/>
      <c r="P13" s="219">
        <f>IF(I13=1,'5-พฤติกรรมการปฏิบัติงาน'!U13,IF(J13=1,'5-พฤติกรรมการปฏิบัติงาน'!V13,IF(K13=1,'5-พฤติกรรมการปฏิบัติงาน'!W13,0)))</f>
        <v>0</v>
      </c>
      <c r="Q13" s="79"/>
      <c r="R13" s="83">
        <v>1</v>
      </c>
      <c r="S13" s="83">
        <v>0.5</v>
      </c>
      <c r="T13" s="83">
        <v>0</v>
      </c>
      <c r="U13" s="217">
        <f>IF('5-พฤติกรรมการปฏิบัติงาน'!M13=DataSet!F101,R13,IF('5-พฤติกรรมการปฏิบัติงาน'!M13=DataSet!F102,R13,IF('5-พฤติกรรมการปฏิบัติงาน'!M13=DataSet!F103,S13,0)))</f>
        <v>0</v>
      </c>
      <c r="V13" s="217">
        <f>IF('5-พฤติกรรมการปฏิบัติงาน'!M13=DataSet!F101,S13,IF('5-พฤติกรรมการปฏิบัติงาน'!M13=DataSet!F102,R13,IF('5-พฤติกรรมการปฏิบัติงาน'!M13=DataSet!F103,T13,0)))</f>
        <v>0</v>
      </c>
      <c r="W13" s="217">
        <f>IF('5-พฤติกรรมการปฏิบัติงาน'!M13=DataSet!F101,T13,IF('5-พฤติกรรมการปฏิบัติงาน'!M13=DataSet!F102,S13,IF('5-พฤติกรรมการปฏิบัติงาน'!M13=DataSet!F103,T13,0)))</f>
        <v>0</v>
      </c>
      <c r="X13" s="83"/>
    </row>
    <row r="14" spans="2:34" s="74" customFormat="1" x14ac:dyDescent="0.8">
      <c r="B14" s="96">
        <v>5</v>
      </c>
      <c r="C14" s="516" t="s">
        <v>405</v>
      </c>
      <c r="D14" s="516"/>
      <c r="E14" s="516"/>
      <c r="F14" s="516"/>
      <c r="G14" s="516"/>
      <c r="H14" s="427"/>
      <c r="I14" s="230" t="b">
        <v>1</v>
      </c>
      <c r="J14" s="233"/>
      <c r="K14" s="231" t="b">
        <v>0</v>
      </c>
      <c r="L14" s="218">
        <f t="shared" si="0"/>
        <v>1</v>
      </c>
      <c r="M14" s="513"/>
      <c r="N14" s="471"/>
      <c r="O14" s="471"/>
      <c r="P14" s="219">
        <f>IF(I14=1,'5-พฤติกรรมการปฏิบัติงาน'!U14,IF(J14=1,'5-พฤติกรรมการปฏิบัติงาน'!V14,IF(K14=1,'5-พฤติกรรมการปฏิบัติงาน'!W14,0)))</f>
        <v>0</v>
      </c>
      <c r="Q14" s="79"/>
      <c r="R14" s="83">
        <v>1</v>
      </c>
      <c r="S14" s="83">
        <v>0.5</v>
      </c>
      <c r="T14" s="83">
        <v>0</v>
      </c>
      <c r="U14" s="217">
        <f>IF('5-พฤติกรรมการปฏิบัติงาน'!M14=DataSet!F101,R14,IF('5-พฤติกรรมการปฏิบัติงาน'!M14=DataSet!F102,R14,IF('5-พฤติกรรมการปฏิบัติงาน'!M14=DataSet!F103,S14,0)))</f>
        <v>0</v>
      </c>
      <c r="V14" s="217">
        <f>IF('5-พฤติกรรมการปฏิบัติงาน'!M14=DataSet!F101,S14,IF('5-พฤติกรรมการปฏิบัติงาน'!M14=DataSet!F102,R14,IF('5-พฤติกรรมการปฏิบัติงาน'!M14=DataSet!F103,T14,0)))</f>
        <v>0</v>
      </c>
      <c r="W14" s="217">
        <f>IF('5-พฤติกรรมการปฏิบัติงาน'!M14=DataSet!F101,T14,IF('5-พฤติกรรมการปฏิบัติงาน'!M14=DataSet!F102,S14,IF('5-พฤติกรรมการปฏิบัติงาน'!M14=DataSet!F103,T14,0)))</f>
        <v>0</v>
      </c>
      <c r="X14" s="83"/>
    </row>
    <row r="15" spans="2:34" s="74" customFormat="1" x14ac:dyDescent="0.8">
      <c r="B15" s="96">
        <v>6</v>
      </c>
      <c r="C15" s="427" t="s">
        <v>407</v>
      </c>
      <c r="D15" s="428"/>
      <c r="E15" s="428"/>
      <c r="F15" s="428"/>
      <c r="G15" s="428"/>
      <c r="H15" s="470"/>
      <c r="I15" s="230" t="b">
        <v>1</v>
      </c>
      <c r="J15" s="233"/>
      <c r="K15" s="231" t="b">
        <v>0</v>
      </c>
      <c r="L15" s="218">
        <f t="shared" si="0"/>
        <v>1</v>
      </c>
      <c r="M15" s="243"/>
      <c r="N15" s="183"/>
      <c r="O15" s="183"/>
      <c r="P15" s="219"/>
      <c r="Q15" s="79"/>
      <c r="R15" s="83"/>
      <c r="S15" s="83"/>
      <c r="T15" s="83"/>
      <c r="U15" s="217"/>
      <c r="V15" s="217"/>
      <c r="W15" s="217"/>
      <c r="X15" s="83"/>
    </row>
    <row r="16" spans="2:34" s="74" customFormat="1" x14ac:dyDescent="0.8">
      <c r="B16" s="96">
        <v>7</v>
      </c>
      <c r="C16" s="427" t="s">
        <v>408</v>
      </c>
      <c r="D16" s="428"/>
      <c r="E16" s="428"/>
      <c r="F16" s="428"/>
      <c r="G16" s="428"/>
      <c r="H16" s="470"/>
      <c r="I16" s="230" t="b">
        <v>1</v>
      </c>
      <c r="J16" s="233"/>
      <c r="K16" s="231" t="b">
        <v>0</v>
      </c>
      <c r="L16" s="218">
        <f t="shared" si="0"/>
        <v>1</v>
      </c>
      <c r="M16" s="243"/>
      <c r="N16" s="183"/>
      <c r="O16" s="183"/>
      <c r="P16" s="219"/>
      <c r="Q16" s="79"/>
      <c r="R16" s="83"/>
      <c r="S16" s="83"/>
      <c r="T16" s="83"/>
      <c r="U16" s="217"/>
      <c r="V16" s="217"/>
      <c r="W16" s="217"/>
      <c r="X16" s="83"/>
    </row>
    <row r="17" spans="2:27" s="74" customFormat="1" ht="27.5" thickBot="1" x14ac:dyDescent="0.95">
      <c r="B17" s="96">
        <v>8</v>
      </c>
      <c r="C17" s="517" t="s">
        <v>406</v>
      </c>
      <c r="D17" s="517"/>
      <c r="E17" s="517"/>
      <c r="F17" s="517"/>
      <c r="G17" s="517"/>
      <c r="H17" s="518"/>
      <c r="I17" s="230" t="b">
        <v>1</v>
      </c>
      <c r="J17" s="233"/>
      <c r="K17" s="231" t="b">
        <v>0</v>
      </c>
      <c r="L17" s="218">
        <f t="shared" si="0"/>
        <v>1</v>
      </c>
      <c r="M17" s="513"/>
      <c r="N17" s="471"/>
      <c r="O17" s="471"/>
      <c r="P17" s="219">
        <f>IF(I17=1,'5-พฤติกรรมการปฏิบัติงาน'!U17,IF(J17=1,'5-พฤติกรรมการปฏิบัติงาน'!V17,IF(K17=1,'5-พฤติกรรมการปฏิบัติงาน'!W17,0)))</f>
        <v>0</v>
      </c>
      <c r="Q17" s="79"/>
      <c r="R17" s="83">
        <v>1</v>
      </c>
      <c r="S17" s="83">
        <v>0.5</v>
      </c>
      <c r="T17" s="83">
        <v>0</v>
      </c>
      <c r="U17" s="217">
        <f>IF('5-พฤติกรรมการปฏิบัติงาน'!M17=DataSet!F101,R17,IF('5-พฤติกรรมการปฏิบัติงาน'!M17=DataSet!F102,R17,IF('5-พฤติกรรมการปฏิบัติงาน'!M17=DataSet!F103,S17,0)))</f>
        <v>0</v>
      </c>
      <c r="V17" s="217">
        <f>IF('5-พฤติกรรมการปฏิบัติงาน'!M17=DataSet!F101,S17,IF('5-พฤติกรรมการปฏิบัติงาน'!M17=DataSet!F102,R17,IF('5-พฤติกรรมการปฏิบัติงาน'!M17=DataSet!F103,T17,0)))</f>
        <v>0</v>
      </c>
      <c r="W17" s="217">
        <f>IF('5-พฤติกรรมการปฏิบัติงาน'!M17=DataSet!F101,T17,IF('5-พฤติกรรมการปฏิบัติงาน'!M17=DataSet!F102,S17,IF('5-พฤติกรรมการปฏิบัติงาน'!M17=DataSet!F103,T17,0)))</f>
        <v>0</v>
      </c>
      <c r="X17" s="83"/>
    </row>
    <row r="18" spans="2:27" ht="24" customHeight="1" thickBot="1" x14ac:dyDescent="0.85">
      <c r="B18" s="503" t="s">
        <v>262</v>
      </c>
      <c r="C18" s="504"/>
      <c r="D18" s="504"/>
      <c r="E18" s="504"/>
      <c r="F18" s="504"/>
      <c r="G18" s="504"/>
      <c r="H18" s="504"/>
      <c r="I18" s="474" t="s">
        <v>205</v>
      </c>
      <c r="J18" s="475"/>
      <c r="K18" s="203">
        <f>(SUM(L21:L25)*1)/5</f>
        <v>1</v>
      </c>
      <c r="L18" s="204" t="s">
        <v>16</v>
      </c>
      <c r="M18" s="505" t="s">
        <v>219</v>
      </c>
      <c r="N18" s="506"/>
      <c r="O18" s="205">
        <f>(SUM(P21:P25)*4)/5</f>
        <v>0</v>
      </c>
      <c r="P18" s="206" t="s">
        <v>16</v>
      </c>
      <c r="Q18" s="207"/>
      <c r="R18" s="207"/>
      <c r="U18" s="85"/>
    </row>
    <row r="19" spans="2:27" s="95" customFormat="1" ht="24.75" customHeight="1" x14ac:dyDescent="0.8">
      <c r="B19" s="496" t="s">
        <v>102</v>
      </c>
      <c r="C19" s="484" t="s">
        <v>223</v>
      </c>
      <c r="D19" s="484"/>
      <c r="E19" s="484"/>
      <c r="F19" s="484"/>
      <c r="G19" s="484"/>
      <c r="H19" s="484"/>
      <c r="I19" s="514" t="s">
        <v>205</v>
      </c>
      <c r="J19" s="515"/>
      <c r="K19" s="515"/>
      <c r="L19" s="495" t="s">
        <v>16</v>
      </c>
      <c r="M19" s="499" t="s">
        <v>206</v>
      </c>
      <c r="N19" s="499"/>
      <c r="O19" s="499"/>
      <c r="P19" s="491" t="s">
        <v>16</v>
      </c>
      <c r="Q19" s="208"/>
      <c r="R19" s="208"/>
      <c r="S19" s="84"/>
      <c r="T19" s="84"/>
      <c r="U19" s="85"/>
      <c r="V19" s="84"/>
      <c r="W19" s="84"/>
      <c r="X19" s="84"/>
      <c r="Y19" s="106"/>
      <c r="Z19" s="106"/>
      <c r="AA19" s="106"/>
    </row>
    <row r="20" spans="2:27" s="95" customFormat="1" ht="24.75" customHeight="1" thickBot="1" x14ac:dyDescent="0.85">
      <c r="B20" s="497"/>
      <c r="C20" s="487"/>
      <c r="D20" s="487"/>
      <c r="E20" s="487"/>
      <c r="F20" s="487"/>
      <c r="G20" s="487"/>
      <c r="H20" s="487"/>
      <c r="I20" s="209" t="s">
        <v>214</v>
      </c>
      <c r="J20" s="288"/>
      <c r="K20" s="211" t="s">
        <v>213</v>
      </c>
      <c r="L20" s="509"/>
      <c r="M20" s="500"/>
      <c r="N20" s="500"/>
      <c r="O20" s="500"/>
      <c r="P20" s="498"/>
      <c r="Q20" s="208"/>
      <c r="R20" s="208"/>
      <c r="S20" s="84"/>
      <c r="T20" s="84"/>
      <c r="U20" s="85"/>
      <c r="V20" s="84"/>
      <c r="W20" s="84"/>
      <c r="X20" s="84"/>
      <c r="Y20" s="106"/>
      <c r="Z20" s="106"/>
      <c r="AA20" s="106"/>
    </row>
    <row r="21" spans="2:27" s="74" customFormat="1" x14ac:dyDescent="0.8">
      <c r="B21" s="220">
        <v>1</v>
      </c>
      <c r="C21" s="476" t="s">
        <v>263</v>
      </c>
      <c r="D21" s="477"/>
      <c r="E21" s="477"/>
      <c r="F21" s="477"/>
      <c r="G21" s="477"/>
      <c r="H21" s="477"/>
      <c r="I21" s="228" t="b">
        <v>1</v>
      </c>
      <c r="J21" s="232"/>
      <c r="K21" s="229" t="b">
        <v>0</v>
      </c>
      <c r="L21" s="218">
        <f t="shared" ref="L21:L25" si="1">IF(I21=TRUE,1,IF(J21=TRUE,0.5,IF(K21=TRUE,0,0)))</f>
        <v>1</v>
      </c>
      <c r="M21" s="507"/>
      <c r="N21" s="507"/>
      <c r="O21" s="507"/>
      <c r="P21" s="216">
        <f>IF(I21=1,'5-พฤติกรรมการปฏิบัติงาน'!U21,IF(J21=1,'5-พฤติกรรมการปฏิบัติงาน'!V21,IF(K21=1,'5-พฤติกรรมการปฏิบัติงาน'!W21,0)))</f>
        <v>0</v>
      </c>
      <c r="Q21" s="79"/>
      <c r="R21" s="83">
        <v>1</v>
      </c>
      <c r="S21" s="83">
        <v>0.5</v>
      </c>
      <c r="T21" s="83">
        <v>0</v>
      </c>
      <c r="U21" s="217">
        <f>IF('5-พฤติกรรมการปฏิบัติงาน'!M21=DataSet!F101,R21,IF('5-พฤติกรรมการปฏิบัติงาน'!M21=DataSet!F102,R21,IF('5-พฤติกรรมการปฏิบัติงาน'!M21=DataSet!F103,S21,0)))</f>
        <v>0</v>
      </c>
      <c r="V21" s="217">
        <f>IF('5-พฤติกรรมการปฏิบัติงาน'!M21=DataSet!F101,S21,IF('5-พฤติกรรมการปฏิบัติงาน'!M21=DataSet!F102,R21,IF('5-พฤติกรรมการปฏิบัติงาน'!M21=DataSet!F103,T21,0)))</f>
        <v>0</v>
      </c>
      <c r="W21" s="217">
        <f>IF('5-พฤติกรรมการปฏิบัติงาน'!M21=DataSet!F101,T21,IF('5-พฤติกรรมการปฏิบัติงาน'!M21=DataSet!F102,S21,IF('5-พฤติกรรมการปฏิบัติงาน'!M21=DataSet!F103,T21,0)))</f>
        <v>0</v>
      </c>
      <c r="X21" s="79"/>
    </row>
    <row r="22" spans="2:27" s="74" customFormat="1" x14ac:dyDescent="0.8">
      <c r="B22" s="111">
        <v>2</v>
      </c>
      <c r="C22" s="427" t="s">
        <v>264</v>
      </c>
      <c r="D22" s="428"/>
      <c r="E22" s="428"/>
      <c r="F22" s="428"/>
      <c r="G22" s="428"/>
      <c r="H22" s="428"/>
      <c r="I22" s="230" t="b">
        <v>1</v>
      </c>
      <c r="J22" s="233"/>
      <c r="K22" s="231" t="b">
        <v>0</v>
      </c>
      <c r="L22" s="218">
        <f t="shared" si="1"/>
        <v>1</v>
      </c>
      <c r="M22" s="471"/>
      <c r="N22" s="471"/>
      <c r="O22" s="471"/>
      <c r="P22" s="219">
        <f>IF(I22=1,'5-พฤติกรรมการปฏิบัติงาน'!U22,IF(J22=1,'5-พฤติกรรมการปฏิบัติงาน'!V22,IF(K22=1,'5-พฤติกรรมการปฏิบัติงาน'!W22,0)))</f>
        <v>0</v>
      </c>
      <c r="Q22" s="79"/>
      <c r="R22" s="83">
        <v>1</v>
      </c>
      <c r="S22" s="83">
        <v>0.5</v>
      </c>
      <c r="T22" s="83">
        <v>0</v>
      </c>
      <c r="U22" s="217">
        <f>IF('5-พฤติกรรมการปฏิบัติงาน'!M22=DataSet!F101,R22,IF('5-พฤติกรรมการปฏิบัติงาน'!M22=DataSet!F102,R22,IF('5-พฤติกรรมการปฏิบัติงาน'!M22=DataSet!F103,S22,0)))</f>
        <v>0</v>
      </c>
      <c r="V22" s="217">
        <f>IF('5-พฤติกรรมการปฏิบัติงาน'!M22=DataSet!F101,S22,IF('5-พฤติกรรมการปฏิบัติงาน'!M22=DataSet!F102,R22,IF('5-พฤติกรรมการปฏิบัติงาน'!M22=DataSet!F103,T22,0)))</f>
        <v>0</v>
      </c>
      <c r="W22" s="217">
        <f>IF('5-พฤติกรรมการปฏิบัติงาน'!M22=DataSet!F101,T22,IF('5-พฤติกรรมการปฏิบัติงาน'!M22=DataSet!F102,S22,IF('5-พฤติกรรมการปฏิบัติงาน'!M22=DataSet!F103,T22,0)))</f>
        <v>0</v>
      </c>
      <c r="X22" s="79"/>
    </row>
    <row r="23" spans="2:27" s="74" customFormat="1" x14ac:dyDescent="0.8">
      <c r="B23" s="111">
        <v>3</v>
      </c>
      <c r="C23" s="427" t="s">
        <v>265</v>
      </c>
      <c r="D23" s="428"/>
      <c r="E23" s="428"/>
      <c r="F23" s="428"/>
      <c r="G23" s="428"/>
      <c r="H23" s="428"/>
      <c r="I23" s="230" t="b">
        <v>1</v>
      </c>
      <c r="J23" s="233"/>
      <c r="K23" s="231" t="b">
        <v>0</v>
      </c>
      <c r="L23" s="218">
        <f t="shared" si="1"/>
        <v>1</v>
      </c>
      <c r="M23" s="183"/>
      <c r="N23" s="183"/>
      <c r="O23" s="183"/>
      <c r="P23" s="219">
        <f>IF(I23=1,'5-พฤติกรรมการปฏิบัติงาน'!U23,IF(J23=1,'5-พฤติกรรมการปฏิบัติงาน'!V23,IF(K23=1,'5-พฤติกรรมการปฏิบัติงาน'!W23,0)))</f>
        <v>0</v>
      </c>
      <c r="Q23" s="79"/>
      <c r="R23" s="83"/>
      <c r="S23" s="83"/>
      <c r="T23" s="83"/>
      <c r="U23" s="217"/>
      <c r="V23" s="217"/>
      <c r="W23" s="217"/>
      <c r="X23" s="79"/>
    </row>
    <row r="24" spans="2:27" s="74" customFormat="1" x14ac:dyDescent="0.8">
      <c r="B24" s="111">
        <v>4</v>
      </c>
      <c r="C24" s="427" t="s">
        <v>266</v>
      </c>
      <c r="D24" s="428"/>
      <c r="E24" s="428"/>
      <c r="F24" s="428"/>
      <c r="G24" s="428"/>
      <c r="H24" s="428"/>
      <c r="I24" s="230" t="b">
        <v>1</v>
      </c>
      <c r="J24" s="233"/>
      <c r="K24" s="231" t="b">
        <v>0</v>
      </c>
      <c r="L24" s="218">
        <f t="shared" si="1"/>
        <v>1</v>
      </c>
      <c r="M24" s="471"/>
      <c r="N24" s="471"/>
      <c r="O24" s="471"/>
      <c r="P24" s="219">
        <f>IF(I24=1,'5-พฤติกรรมการปฏิบัติงาน'!U24,IF(J24=1,'5-พฤติกรรมการปฏิบัติงาน'!V24,IF(K24=1,'5-พฤติกรรมการปฏิบัติงาน'!W24,0)))</f>
        <v>0</v>
      </c>
      <c r="Q24" s="79"/>
      <c r="R24" s="83">
        <v>1</v>
      </c>
      <c r="S24" s="83">
        <v>0.5</v>
      </c>
      <c r="T24" s="83">
        <v>0</v>
      </c>
      <c r="U24" s="217">
        <f>IF('5-พฤติกรรมการปฏิบัติงาน'!M24=DataSet!F101,R24,IF('5-พฤติกรรมการปฏิบัติงาน'!M24=DataSet!F102,R24,IF('5-พฤติกรรมการปฏิบัติงาน'!M24=DataSet!F103,S24,0)))</f>
        <v>0</v>
      </c>
      <c r="V24" s="217">
        <f>IF('5-พฤติกรรมการปฏิบัติงาน'!M24=DataSet!F101,S24,IF('5-พฤติกรรมการปฏิบัติงาน'!M24=DataSet!F102,R24,IF('5-พฤติกรรมการปฏิบัติงาน'!M24=DataSet!F103,T24,0)))</f>
        <v>0</v>
      </c>
      <c r="W24" s="217">
        <f>IF('5-พฤติกรรมการปฏิบัติงาน'!M24=DataSet!F101,T24,IF('5-พฤติกรรมการปฏิบัติงาน'!M24=DataSet!F102,S24,IF('5-พฤติกรรมการปฏิบัติงาน'!M24=DataSet!F103,T24,0)))</f>
        <v>0</v>
      </c>
      <c r="X24" s="79"/>
    </row>
    <row r="25" spans="2:27" s="74" customFormat="1" ht="24.5" thickBot="1" x14ac:dyDescent="0.85">
      <c r="B25" s="132">
        <v>5</v>
      </c>
      <c r="C25" s="501" t="s">
        <v>267</v>
      </c>
      <c r="D25" s="502"/>
      <c r="E25" s="502"/>
      <c r="F25" s="502"/>
      <c r="G25" s="502"/>
      <c r="H25" s="502"/>
      <c r="I25" s="230" t="b">
        <v>1</v>
      </c>
      <c r="J25" s="233"/>
      <c r="K25" s="231" t="b">
        <v>0</v>
      </c>
      <c r="L25" s="218">
        <f t="shared" si="1"/>
        <v>1</v>
      </c>
      <c r="M25" s="471"/>
      <c r="N25" s="471"/>
      <c r="O25" s="471"/>
      <c r="P25" s="221">
        <f>IF(I25=1,'5-พฤติกรรมการปฏิบัติงาน'!U25,IF(J25=1,'5-พฤติกรรมการปฏิบัติงาน'!V25,IF(K25=1,'5-พฤติกรรมการปฏิบัติงาน'!W25,0)))</f>
        <v>0</v>
      </c>
      <c r="Q25" s="79"/>
      <c r="R25" s="83">
        <v>1</v>
      </c>
      <c r="S25" s="83">
        <v>0.5</v>
      </c>
      <c r="T25" s="83">
        <v>0</v>
      </c>
      <c r="U25" s="217">
        <f>IF('5-พฤติกรรมการปฏิบัติงาน'!M25=DataSet!F101,R25,IF('5-พฤติกรรมการปฏิบัติงาน'!M25=DataSet!F102,R25,IF('5-พฤติกรรมการปฏิบัติงาน'!M25=DataSet!F103,S25,0)))</f>
        <v>0</v>
      </c>
      <c r="V25" s="217">
        <f>IF('5-พฤติกรรมการปฏิบัติงาน'!M25=DataSet!F101,S25,IF('5-พฤติกรรมการปฏิบัติงาน'!M25=DataSet!F102,R25,IF('5-พฤติกรรมการปฏิบัติงาน'!M25=DataSet!F103,T25,0)))</f>
        <v>0</v>
      </c>
      <c r="W25" s="217">
        <f>IF('5-พฤติกรรมการปฏิบัติงาน'!M25=DataSet!F101,T25,IF('5-พฤติกรรมการปฏิบัติงาน'!M25=DataSet!F102,S25,IF('5-พฤติกรรมการปฏิบัติงาน'!M25=DataSet!F103,T25,0)))</f>
        <v>0</v>
      </c>
      <c r="X25" s="79"/>
    </row>
    <row r="26" spans="2:27" ht="24" customHeight="1" thickBot="1" x14ac:dyDescent="0.85">
      <c r="B26" s="503" t="s">
        <v>268</v>
      </c>
      <c r="C26" s="504"/>
      <c r="D26" s="504"/>
      <c r="E26" s="504"/>
      <c r="F26" s="504"/>
      <c r="G26" s="504"/>
      <c r="H26" s="504"/>
      <c r="I26" s="474" t="s">
        <v>205</v>
      </c>
      <c r="J26" s="475"/>
      <c r="K26" s="203">
        <f>(SUM(L29:L33)*2)/5</f>
        <v>2</v>
      </c>
      <c r="L26" s="204" t="s">
        <v>16</v>
      </c>
      <c r="M26" s="505" t="s">
        <v>219</v>
      </c>
      <c r="N26" s="506"/>
      <c r="O26" s="205">
        <f>(SUM(P29:P33)*4)/5</f>
        <v>0</v>
      </c>
      <c r="P26" s="206" t="s">
        <v>16</v>
      </c>
      <c r="Q26" s="207"/>
      <c r="R26" s="207"/>
      <c r="U26" s="217"/>
      <c r="W26" s="83"/>
    </row>
    <row r="27" spans="2:27" s="95" customFormat="1" ht="24.75" customHeight="1" x14ac:dyDescent="0.8">
      <c r="B27" s="496" t="s">
        <v>102</v>
      </c>
      <c r="C27" s="484" t="s">
        <v>223</v>
      </c>
      <c r="D27" s="484"/>
      <c r="E27" s="484"/>
      <c r="F27" s="484"/>
      <c r="G27" s="484"/>
      <c r="H27" s="484"/>
      <c r="I27" s="489" t="s">
        <v>205</v>
      </c>
      <c r="J27" s="490"/>
      <c r="K27" s="490"/>
      <c r="L27" s="494" t="s">
        <v>16</v>
      </c>
      <c r="M27" s="499" t="s">
        <v>206</v>
      </c>
      <c r="N27" s="499"/>
      <c r="O27" s="499"/>
      <c r="P27" s="491" t="s">
        <v>16</v>
      </c>
      <c r="Q27" s="208"/>
      <c r="R27" s="208"/>
      <c r="S27" s="84"/>
      <c r="T27" s="84"/>
      <c r="U27" s="217"/>
      <c r="V27" s="84"/>
      <c r="W27" s="84"/>
      <c r="X27" s="84"/>
      <c r="Y27" s="106"/>
      <c r="Z27" s="106"/>
      <c r="AA27" s="106"/>
    </row>
    <row r="28" spans="2:27" s="95" customFormat="1" ht="24.75" customHeight="1" thickBot="1" x14ac:dyDescent="0.85">
      <c r="B28" s="497"/>
      <c r="C28" s="487"/>
      <c r="D28" s="487"/>
      <c r="E28" s="487"/>
      <c r="F28" s="487"/>
      <c r="G28" s="487"/>
      <c r="H28" s="487"/>
      <c r="I28" s="209" t="s">
        <v>214</v>
      </c>
      <c r="J28" s="288"/>
      <c r="K28" s="211" t="s">
        <v>213</v>
      </c>
      <c r="L28" s="509"/>
      <c r="M28" s="500"/>
      <c r="N28" s="500"/>
      <c r="O28" s="500"/>
      <c r="P28" s="498"/>
      <c r="Q28" s="208"/>
      <c r="R28" s="208"/>
      <c r="S28" s="84"/>
      <c r="T28" s="84"/>
      <c r="U28" s="217"/>
      <c r="V28" s="84"/>
      <c r="W28" s="84"/>
      <c r="X28" s="84"/>
      <c r="Y28" s="106"/>
      <c r="Z28" s="106"/>
      <c r="AA28" s="106"/>
    </row>
    <row r="29" spans="2:27" s="74" customFormat="1" x14ac:dyDescent="0.8">
      <c r="B29" s="220">
        <v>1</v>
      </c>
      <c r="C29" s="476" t="s">
        <v>269</v>
      </c>
      <c r="D29" s="477"/>
      <c r="E29" s="477"/>
      <c r="F29" s="477"/>
      <c r="G29" s="477"/>
      <c r="H29" s="477"/>
      <c r="I29" s="228" t="b">
        <v>1</v>
      </c>
      <c r="J29" s="232"/>
      <c r="K29" s="229" t="b">
        <v>0</v>
      </c>
      <c r="L29" s="218">
        <f t="shared" ref="L29:L33" si="2">IF(I29=TRUE,1,IF(J29=TRUE,0.5,IF(K29=TRUE,0,0)))</f>
        <v>1</v>
      </c>
      <c r="M29" s="507"/>
      <c r="N29" s="507"/>
      <c r="O29" s="507"/>
      <c r="P29" s="216">
        <f>IF(I29=1,'5-พฤติกรรมการปฏิบัติงาน'!U29,IF(J29=1,'5-พฤติกรรมการปฏิบัติงาน'!V29,IF(K29=1,'5-พฤติกรรมการปฏิบัติงาน'!W29,0)))</f>
        <v>0</v>
      </c>
      <c r="Q29" s="79"/>
      <c r="R29" s="83">
        <v>1</v>
      </c>
      <c r="S29" s="83">
        <v>0.5</v>
      </c>
      <c r="T29" s="83">
        <v>0</v>
      </c>
      <c r="U29" s="217">
        <f>IF('5-พฤติกรรมการปฏิบัติงาน'!M29=DataSet!F101,R29,IF('5-พฤติกรรมการปฏิบัติงาน'!M29=DataSet!F102,R29,IF('5-พฤติกรรมการปฏิบัติงาน'!M29=DataSet!F103,S29,0)))</f>
        <v>0</v>
      </c>
      <c r="V29" s="217">
        <f>IF('5-พฤติกรรมการปฏิบัติงาน'!M29=DataSet!F101,S29,IF('5-พฤติกรรมการปฏิบัติงาน'!M29=DataSet!F102,R29,IF('5-พฤติกรรมการปฏิบัติงาน'!M29=DataSet!F103,T29,0)))</f>
        <v>0</v>
      </c>
      <c r="W29" s="217">
        <f>IF('5-พฤติกรรมการปฏิบัติงาน'!M29=DataSet!F101,T29,IF('5-พฤติกรรมการปฏิบัติงาน'!M29=DataSet!F102,S29,IF('5-พฤติกรรมการปฏิบัติงาน'!M29=DataSet!F103,T29,0)))</f>
        <v>0</v>
      </c>
      <c r="X29" s="79"/>
    </row>
    <row r="30" spans="2:27" s="74" customFormat="1" x14ac:dyDescent="0.8">
      <c r="B30" s="111">
        <v>2</v>
      </c>
      <c r="C30" s="427" t="s">
        <v>270</v>
      </c>
      <c r="D30" s="428"/>
      <c r="E30" s="428"/>
      <c r="F30" s="428"/>
      <c r="G30" s="428"/>
      <c r="H30" s="428"/>
      <c r="I30" s="230" t="b">
        <v>1</v>
      </c>
      <c r="J30" s="233"/>
      <c r="K30" s="231" t="b">
        <v>0</v>
      </c>
      <c r="L30" s="218">
        <f t="shared" si="2"/>
        <v>1</v>
      </c>
      <c r="M30" s="471"/>
      <c r="N30" s="471"/>
      <c r="O30" s="471"/>
      <c r="P30" s="219">
        <f>IF(I30=1,'5-พฤติกรรมการปฏิบัติงาน'!U30,IF(J30=1,'5-พฤติกรรมการปฏิบัติงาน'!V30,IF(K30=1,'5-พฤติกรรมการปฏิบัติงาน'!W30,0)))</f>
        <v>0</v>
      </c>
      <c r="Q30" s="79"/>
      <c r="R30" s="83">
        <v>1</v>
      </c>
      <c r="S30" s="83">
        <v>0.5</v>
      </c>
      <c r="T30" s="83">
        <v>0</v>
      </c>
      <c r="U30" s="217">
        <f>IF('5-พฤติกรรมการปฏิบัติงาน'!M30=DataSet!F101,R30,IF('5-พฤติกรรมการปฏิบัติงาน'!M30=DataSet!F102,R30,IF('5-พฤติกรรมการปฏิบัติงาน'!M30=DataSet!F103,S30,0)))</f>
        <v>0</v>
      </c>
      <c r="V30" s="217">
        <f>IF('5-พฤติกรรมการปฏิบัติงาน'!M30=DataSet!F101,S30,IF('5-พฤติกรรมการปฏิบัติงาน'!M30=DataSet!F102,R30,IF('5-พฤติกรรมการปฏิบัติงาน'!M30=DataSet!F103,T30,0)))</f>
        <v>0</v>
      </c>
      <c r="W30" s="217">
        <f>IF('5-พฤติกรรมการปฏิบัติงาน'!M30=DataSet!F101,T30,IF('5-พฤติกรรมการปฏิบัติงาน'!M30=DataSet!F102,S30,IF('5-พฤติกรรมการปฏิบัติงาน'!M30=DataSet!F103,T30,0)))</f>
        <v>0</v>
      </c>
      <c r="X30" s="79"/>
    </row>
    <row r="31" spans="2:27" s="74" customFormat="1" x14ac:dyDescent="0.8">
      <c r="B31" s="111">
        <v>3</v>
      </c>
      <c r="C31" s="427" t="s">
        <v>271</v>
      </c>
      <c r="D31" s="428"/>
      <c r="E31" s="428"/>
      <c r="F31" s="428"/>
      <c r="G31" s="428"/>
      <c r="H31" s="428"/>
      <c r="I31" s="230" t="b">
        <v>1</v>
      </c>
      <c r="J31" s="233"/>
      <c r="K31" s="231" t="b">
        <v>0</v>
      </c>
      <c r="L31" s="218">
        <f t="shared" si="2"/>
        <v>1</v>
      </c>
      <c r="M31" s="471"/>
      <c r="N31" s="471"/>
      <c r="O31" s="471"/>
      <c r="P31" s="219">
        <f>IF(I31=1,'5-พฤติกรรมการปฏิบัติงาน'!U31,IF(J31=1,'5-พฤติกรรมการปฏิบัติงาน'!V31,IF(K31=1,'5-พฤติกรรมการปฏิบัติงาน'!W31,0)))</f>
        <v>0</v>
      </c>
      <c r="Q31" s="79"/>
      <c r="R31" s="83">
        <v>1</v>
      </c>
      <c r="S31" s="83">
        <v>0.5</v>
      </c>
      <c r="T31" s="83">
        <v>0</v>
      </c>
      <c r="U31" s="217">
        <f>IF('5-พฤติกรรมการปฏิบัติงาน'!M31=DataSet!F101,R31,IF('5-พฤติกรรมการปฏิบัติงาน'!M31=DataSet!F102,R31,IF('5-พฤติกรรมการปฏิบัติงาน'!M31=DataSet!F103,S31,0)))</f>
        <v>0</v>
      </c>
      <c r="V31" s="217">
        <f>IF('5-พฤติกรรมการปฏิบัติงาน'!M31=DataSet!F101,S31,IF('5-พฤติกรรมการปฏิบัติงาน'!M31=DataSet!F102,R31,IF('5-พฤติกรรมการปฏิบัติงาน'!M31=DataSet!F103,T31,0)))</f>
        <v>0</v>
      </c>
      <c r="W31" s="217">
        <f>IF('5-พฤติกรรมการปฏิบัติงาน'!M31=DataSet!F101,T31,IF('5-พฤติกรรมการปฏิบัติงาน'!M31=DataSet!F102,S31,IF('5-พฤติกรรมการปฏิบัติงาน'!M31=DataSet!F103,T31,0)))</f>
        <v>0</v>
      </c>
      <c r="X31" s="79"/>
    </row>
    <row r="32" spans="2:27" s="74" customFormat="1" x14ac:dyDescent="0.8">
      <c r="B32" s="111">
        <v>4</v>
      </c>
      <c r="C32" s="427" t="s">
        <v>272</v>
      </c>
      <c r="D32" s="428"/>
      <c r="E32" s="428"/>
      <c r="F32" s="428"/>
      <c r="G32" s="428"/>
      <c r="H32" s="428"/>
      <c r="I32" s="230" t="b">
        <v>1</v>
      </c>
      <c r="J32" s="233"/>
      <c r="K32" s="231" t="b">
        <v>0</v>
      </c>
      <c r="L32" s="218">
        <f t="shared" si="2"/>
        <v>1</v>
      </c>
      <c r="M32" s="471"/>
      <c r="N32" s="471"/>
      <c r="O32" s="471"/>
      <c r="P32" s="219">
        <f>IF(I32=1,'5-พฤติกรรมการปฏิบัติงาน'!U32,IF(J32=1,'5-พฤติกรรมการปฏิบัติงาน'!V32,IF(K32=1,'5-พฤติกรรมการปฏิบัติงาน'!W32,0)))</f>
        <v>0</v>
      </c>
      <c r="Q32" s="79"/>
      <c r="R32" s="83">
        <v>1</v>
      </c>
      <c r="S32" s="83">
        <v>0.5</v>
      </c>
      <c r="T32" s="83">
        <v>0</v>
      </c>
      <c r="U32" s="217">
        <f>IF('5-พฤติกรรมการปฏิบัติงาน'!M32=DataSet!F101,R32,IF('5-พฤติกรรมการปฏิบัติงาน'!M32=DataSet!F102,R32,IF('5-พฤติกรรมการปฏิบัติงาน'!M32=DataSet!F103,S32,0)))</f>
        <v>0</v>
      </c>
      <c r="V32" s="217">
        <f>IF('5-พฤติกรรมการปฏิบัติงาน'!M32=DataSet!F101,S32,IF('5-พฤติกรรมการปฏิบัติงาน'!M32=DataSet!F102,R32,IF('5-พฤติกรรมการปฏิบัติงาน'!M32=DataSet!F103,T32,0)))</f>
        <v>0</v>
      </c>
      <c r="W32" s="217">
        <f>IF('5-พฤติกรรมการปฏิบัติงาน'!M32=DataSet!F101,T32,IF('5-พฤติกรรมการปฏิบัติงาน'!M32=DataSet!F102,S32,IF('5-พฤติกรรมการปฏิบัติงาน'!M32=DataSet!F103,T32,0)))</f>
        <v>0</v>
      </c>
      <c r="X32" s="79"/>
    </row>
    <row r="33" spans="2:27" s="74" customFormat="1" ht="24.5" thickBot="1" x14ac:dyDescent="0.85">
      <c r="B33" s="132">
        <v>5</v>
      </c>
      <c r="C33" s="512" t="s">
        <v>273</v>
      </c>
      <c r="D33" s="512"/>
      <c r="E33" s="512"/>
      <c r="F33" s="512"/>
      <c r="G33" s="512"/>
      <c r="H33" s="501"/>
      <c r="I33" s="230" t="b">
        <v>1</v>
      </c>
      <c r="J33" s="233"/>
      <c r="K33" s="231" t="b">
        <v>0</v>
      </c>
      <c r="L33" s="218">
        <f t="shared" si="2"/>
        <v>1</v>
      </c>
      <c r="M33" s="471"/>
      <c r="N33" s="471"/>
      <c r="O33" s="471"/>
      <c r="P33" s="221">
        <f>IF(I33=1,'5-พฤติกรรมการปฏิบัติงาน'!U33,IF(J33=1,'5-พฤติกรรมการปฏิบัติงาน'!V33,IF(K33=1,'5-พฤติกรรมการปฏิบัติงาน'!W33,0)))</f>
        <v>0</v>
      </c>
      <c r="Q33" s="79"/>
      <c r="R33" s="83">
        <v>1</v>
      </c>
      <c r="S33" s="83">
        <v>0.5</v>
      </c>
      <c r="T33" s="83">
        <v>0</v>
      </c>
      <c r="U33" s="217">
        <f>IF('5-พฤติกรรมการปฏิบัติงาน'!M33=DataSet!F101,R33,IF('5-พฤติกรรมการปฏิบัติงาน'!M33=DataSet!F102,R33,IF('5-พฤติกรรมการปฏิบัติงาน'!M33=DataSet!F103,S33,0)))</f>
        <v>0</v>
      </c>
      <c r="V33" s="217">
        <f>IF('5-พฤติกรรมการปฏิบัติงาน'!M33=DataSet!F101,S33,IF('5-พฤติกรรมการปฏิบัติงาน'!M33=DataSet!F102,R33,IF('5-พฤติกรรมการปฏิบัติงาน'!M33=DataSet!F103,T33,0)))</f>
        <v>0</v>
      </c>
      <c r="W33" s="217">
        <f>IF('5-พฤติกรรมการปฏิบัติงาน'!M33=DataSet!F101,T33,IF('5-พฤติกรรมการปฏิบัติงาน'!M33=DataSet!F102,S33,IF('5-พฤติกรรมการปฏิบัติงาน'!M33=DataSet!F103,T33,0)))</f>
        <v>0</v>
      </c>
      <c r="X33" s="79"/>
    </row>
    <row r="34" spans="2:27" ht="24" customHeight="1" thickBot="1" x14ac:dyDescent="0.85">
      <c r="B34" s="503" t="s">
        <v>274</v>
      </c>
      <c r="C34" s="504"/>
      <c r="D34" s="504"/>
      <c r="E34" s="504"/>
      <c r="F34" s="504"/>
      <c r="G34" s="504"/>
      <c r="H34" s="504"/>
      <c r="I34" s="474" t="s">
        <v>205</v>
      </c>
      <c r="J34" s="475"/>
      <c r="K34" s="203">
        <f>(SUM(L37:L40)*1)/4</f>
        <v>1</v>
      </c>
      <c r="L34" s="204" t="s">
        <v>16</v>
      </c>
      <c r="M34" s="505" t="s">
        <v>219</v>
      </c>
      <c r="N34" s="506"/>
      <c r="O34" s="205">
        <f>(SUM(P37:P40)*4)/6</f>
        <v>0</v>
      </c>
      <c r="P34" s="206" t="s">
        <v>16</v>
      </c>
      <c r="Q34" s="207"/>
      <c r="R34" s="207"/>
      <c r="U34" s="217"/>
      <c r="W34" s="83"/>
    </row>
    <row r="35" spans="2:27" s="95" customFormat="1" ht="24.75" customHeight="1" x14ac:dyDescent="0.8">
      <c r="B35" s="496" t="s">
        <v>102</v>
      </c>
      <c r="C35" s="484" t="s">
        <v>223</v>
      </c>
      <c r="D35" s="484"/>
      <c r="E35" s="484"/>
      <c r="F35" s="484"/>
      <c r="G35" s="484"/>
      <c r="H35" s="484"/>
      <c r="I35" s="489" t="s">
        <v>205</v>
      </c>
      <c r="J35" s="490"/>
      <c r="K35" s="490"/>
      <c r="L35" s="494" t="s">
        <v>16</v>
      </c>
      <c r="M35" s="499" t="s">
        <v>206</v>
      </c>
      <c r="N35" s="499"/>
      <c r="O35" s="499"/>
      <c r="P35" s="491" t="s">
        <v>16</v>
      </c>
      <c r="Q35" s="208"/>
      <c r="R35" s="208"/>
      <c r="S35" s="84"/>
      <c r="T35" s="84"/>
      <c r="U35" s="217"/>
      <c r="V35" s="84"/>
      <c r="W35" s="84"/>
      <c r="X35" s="84"/>
      <c r="Y35" s="106"/>
      <c r="Z35" s="106"/>
      <c r="AA35" s="106"/>
    </row>
    <row r="36" spans="2:27" s="95" customFormat="1" ht="24.75" customHeight="1" thickBot="1" x14ac:dyDescent="0.85">
      <c r="B36" s="497"/>
      <c r="C36" s="487"/>
      <c r="D36" s="487"/>
      <c r="E36" s="487"/>
      <c r="F36" s="487"/>
      <c r="G36" s="487"/>
      <c r="H36" s="487"/>
      <c r="I36" s="209" t="s">
        <v>214</v>
      </c>
      <c r="J36" s="288"/>
      <c r="K36" s="211" t="s">
        <v>213</v>
      </c>
      <c r="L36" s="509"/>
      <c r="M36" s="500"/>
      <c r="N36" s="500"/>
      <c r="O36" s="500"/>
      <c r="P36" s="498"/>
      <c r="Q36" s="208"/>
      <c r="R36" s="208"/>
      <c r="S36" s="84"/>
      <c r="T36" s="84"/>
      <c r="U36" s="217"/>
      <c r="V36" s="84"/>
      <c r="W36" s="84"/>
      <c r="X36" s="84"/>
      <c r="Y36" s="106"/>
      <c r="Z36" s="106"/>
      <c r="AA36" s="106"/>
    </row>
    <row r="37" spans="2:27" s="74" customFormat="1" x14ac:dyDescent="0.8">
      <c r="B37" s="220">
        <v>1</v>
      </c>
      <c r="C37" s="476" t="s">
        <v>275</v>
      </c>
      <c r="D37" s="477"/>
      <c r="E37" s="477"/>
      <c r="F37" s="477"/>
      <c r="G37" s="477"/>
      <c r="H37" s="477"/>
      <c r="I37" s="228" t="b">
        <v>1</v>
      </c>
      <c r="J37" s="232"/>
      <c r="K37" s="229" t="b">
        <v>0</v>
      </c>
      <c r="L37" s="218">
        <f t="shared" ref="L37:L40" si="3">IF(I37=TRUE,1,IF(J37=TRUE,0.5,IF(K37=TRUE,0,0)))</f>
        <v>1</v>
      </c>
      <c r="M37" s="507"/>
      <c r="N37" s="507"/>
      <c r="O37" s="507"/>
      <c r="P37" s="216">
        <f>IF(I37=1,'5-พฤติกรรมการปฏิบัติงาน'!U37,IF(J37=1,'5-พฤติกรรมการปฏิบัติงาน'!V37,IF(K37=1,'5-พฤติกรรมการปฏิบัติงาน'!W37,0)))</f>
        <v>0</v>
      </c>
      <c r="Q37" s="79"/>
      <c r="R37" s="83">
        <v>1</v>
      </c>
      <c r="S37" s="83">
        <v>0.5</v>
      </c>
      <c r="T37" s="83">
        <v>0</v>
      </c>
      <c r="U37" s="217">
        <f>IF('5-พฤติกรรมการปฏิบัติงาน'!M37=DataSet!F101,R37,IF('5-พฤติกรรมการปฏิบัติงาน'!M37=DataSet!F102,R37,IF('5-พฤติกรรมการปฏิบัติงาน'!M37=DataSet!F103,S37,0)))</f>
        <v>0</v>
      </c>
      <c r="V37" s="217">
        <f>IF('5-พฤติกรรมการปฏิบัติงาน'!M37=DataSet!F101,S37,IF('5-พฤติกรรมการปฏิบัติงาน'!M37=DataSet!F102,R37,IF('5-พฤติกรรมการปฏิบัติงาน'!M37=DataSet!F103,T37,0)))</f>
        <v>0</v>
      </c>
      <c r="W37" s="83">
        <f>IF('5-พฤติกรรมการปฏิบัติงาน'!M37=DataSet!F101,T37,IF('5-พฤติกรรมการปฏิบัติงาน'!M37=DataSet!F102,S37,IF('5-พฤติกรรมการปฏิบัติงาน'!M37=DataSet!F103,T37,0)))</f>
        <v>0</v>
      </c>
      <c r="X37" s="79"/>
    </row>
    <row r="38" spans="2:27" s="74" customFormat="1" x14ac:dyDescent="0.8">
      <c r="B38" s="220">
        <v>2</v>
      </c>
      <c r="C38" s="476" t="s">
        <v>276</v>
      </c>
      <c r="D38" s="477"/>
      <c r="E38" s="477"/>
      <c r="F38" s="477"/>
      <c r="G38" s="477"/>
      <c r="H38" s="477"/>
      <c r="I38" s="230" t="b">
        <v>1</v>
      </c>
      <c r="J38" s="233"/>
      <c r="K38" s="231" t="b">
        <v>0</v>
      </c>
      <c r="L38" s="218">
        <f>IF(I38=TRUE,1,IF(J38=TRUE,0.5,IF(K38=TRUE,0,0)))</f>
        <v>1</v>
      </c>
      <c r="M38" s="215"/>
      <c r="N38" s="215"/>
      <c r="O38" s="215"/>
      <c r="P38" s="216">
        <f>IF(I38=1,'5-พฤติกรรมการปฏิบัติงาน'!U38,IF(J38=1,'5-พฤติกรรมการปฏิบัติงาน'!V38,IF(K38=1,'5-พฤติกรรมการปฏิบัติงาน'!W38,0)))</f>
        <v>0</v>
      </c>
      <c r="Q38" s="79"/>
      <c r="R38" s="83"/>
      <c r="S38" s="83"/>
      <c r="T38" s="83"/>
      <c r="U38" s="217"/>
      <c r="V38" s="217"/>
      <c r="W38" s="83"/>
      <c r="X38" s="79"/>
    </row>
    <row r="39" spans="2:27" s="74" customFormat="1" x14ac:dyDescent="0.8">
      <c r="B39" s="220">
        <v>3</v>
      </c>
      <c r="C39" s="476" t="s">
        <v>277</v>
      </c>
      <c r="D39" s="477"/>
      <c r="E39" s="477"/>
      <c r="F39" s="477"/>
      <c r="G39" s="477"/>
      <c r="H39" s="477"/>
      <c r="I39" s="230" t="b">
        <v>1</v>
      </c>
      <c r="J39" s="233"/>
      <c r="K39" s="231" t="b">
        <v>0</v>
      </c>
      <c r="L39" s="218">
        <f>IF(I39=TRUE,1,IF(J39=TRUE,0.5,IF(K39=TRUE,0,0)))</f>
        <v>1</v>
      </c>
      <c r="M39" s="215"/>
      <c r="N39" s="215"/>
      <c r="O39" s="215"/>
      <c r="P39" s="216">
        <f>IF(I39=1,'5-พฤติกรรมการปฏิบัติงาน'!U39,IF(J39=1,'5-พฤติกรรมการปฏิบัติงาน'!V39,IF(K39=1,'5-พฤติกรรมการปฏิบัติงาน'!W39,0)))</f>
        <v>0</v>
      </c>
      <c r="Q39" s="79"/>
      <c r="R39" s="83"/>
      <c r="S39" s="83"/>
      <c r="T39" s="83"/>
      <c r="U39" s="217"/>
      <c r="V39" s="217"/>
      <c r="W39" s="83"/>
      <c r="X39" s="79"/>
    </row>
    <row r="40" spans="2:27" s="74" customFormat="1" ht="24.5" thickBot="1" x14ac:dyDescent="0.85">
      <c r="B40" s="220">
        <v>4</v>
      </c>
      <c r="C40" s="476" t="s">
        <v>278</v>
      </c>
      <c r="D40" s="477"/>
      <c r="E40" s="477"/>
      <c r="F40" s="477"/>
      <c r="G40" s="477"/>
      <c r="H40" s="477"/>
      <c r="I40" s="230" t="b">
        <v>1</v>
      </c>
      <c r="J40" s="233"/>
      <c r="K40" s="231" t="b">
        <v>0</v>
      </c>
      <c r="L40" s="218">
        <f t="shared" si="3"/>
        <v>1</v>
      </c>
      <c r="M40" s="215"/>
      <c r="N40" s="215"/>
      <c r="O40" s="215"/>
      <c r="P40" s="216">
        <f>IF(I40=1,'5-พฤติกรรมการปฏิบัติงาน'!U40,IF(J40=1,'5-พฤติกรรมการปฏิบัติงาน'!V40,IF(K40=1,'5-พฤติกรรมการปฏิบัติงาน'!W40,0)))</f>
        <v>0</v>
      </c>
      <c r="Q40" s="79"/>
      <c r="R40" s="83"/>
      <c r="S40" s="83"/>
      <c r="T40" s="83"/>
      <c r="U40" s="217"/>
      <c r="V40" s="217"/>
      <c r="W40" s="83"/>
      <c r="X40" s="79"/>
    </row>
    <row r="41" spans="2:27" ht="24" customHeight="1" thickBot="1" x14ac:dyDescent="0.85">
      <c r="B41" s="503" t="s">
        <v>279</v>
      </c>
      <c r="C41" s="504"/>
      <c r="D41" s="504"/>
      <c r="E41" s="504"/>
      <c r="F41" s="504"/>
      <c r="G41" s="504"/>
      <c r="H41" s="504"/>
      <c r="I41" s="474" t="s">
        <v>205</v>
      </c>
      <c r="J41" s="475"/>
      <c r="K41" s="203">
        <f>(SUM(L44:L48)*2)/5</f>
        <v>2</v>
      </c>
      <c r="L41" s="204" t="s">
        <v>16</v>
      </c>
      <c r="M41" s="505" t="s">
        <v>219</v>
      </c>
      <c r="N41" s="506"/>
      <c r="O41" s="205">
        <f>(SUM(P44:P48)*4)/5</f>
        <v>0</v>
      </c>
      <c r="P41" s="206" t="s">
        <v>16</v>
      </c>
      <c r="Q41" s="207"/>
      <c r="R41" s="207"/>
      <c r="U41" s="217"/>
      <c r="W41" s="83"/>
    </row>
    <row r="42" spans="2:27" s="95" customFormat="1" ht="24.75" customHeight="1" x14ac:dyDescent="0.8">
      <c r="B42" s="496" t="s">
        <v>102</v>
      </c>
      <c r="C42" s="484" t="s">
        <v>223</v>
      </c>
      <c r="D42" s="484"/>
      <c r="E42" s="484"/>
      <c r="F42" s="484"/>
      <c r="G42" s="484"/>
      <c r="H42" s="485"/>
      <c r="I42" s="489" t="s">
        <v>205</v>
      </c>
      <c r="J42" s="490"/>
      <c r="K42" s="490"/>
      <c r="L42" s="494" t="s">
        <v>16</v>
      </c>
      <c r="M42" s="499" t="s">
        <v>206</v>
      </c>
      <c r="N42" s="499"/>
      <c r="O42" s="499"/>
      <c r="P42" s="491" t="s">
        <v>16</v>
      </c>
      <c r="Q42" s="208"/>
      <c r="R42" s="208"/>
      <c r="S42" s="84"/>
      <c r="T42" s="84"/>
      <c r="U42" s="217"/>
      <c r="V42" s="84"/>
      <c r="W42" s="84"/>
      <c r="X42" s="84"/>
      <c r="Y42" s="106"/>
      <c r="Z42" s="106"/>
      <c r="AA42" s="106"/>
    </row>
    <row r="43" spans="2:27" s="95" customFormat="1" ht="24.75" customHeight="1" thickBot="1" x14ac:dyDescent="0.85">
      <c r="B43" s="497"/>
      <c r="C43" s="487"/>
      <c r="D43" s="487"/>
      <c r="E43" s="487"/>
      <c r="F43" s="487"/>
      <c r="G43" s="487"/>
      <c r="H43" s="488"/>
      <c r="I43" s="209" t="s">
        <v>214</v>
      </c>
      <c r="J43" s="288"/>
      <c r="K43" s="211" t="s">
        <v>213</v>
      </c>
      <c r="L43" s="509"/>
      <c r="M43" s="500"/>
      <c r="N43" s="500"/>
      <c r="O43" s="500"/>
      <c r="P43" s="498"/>
      <c r="Q43" s="208"/>
      <c r="R43" s="208"/>
      <c r="S43" s="84"/>
      <c r="T43" s="84"/>
      <c r="U43" s="217"/>
      <c r="V43" s="84"/>
      <c r="W43" s="84"/>
      <c r="X43" s="84"/>
      <c r="Y43" s="106"/>
      <c r="Z43" s="106"/>
      <c r="AA43" s="106"/>
    </row>
    <row r="44" spans="2:27" s="74" customFormat="1" x14ac:dyDescent="0.8">
      <c r="B44" s="220">
        <v>1</v>
      </c>
      <c r="C44" s="476" t="s">
        <v>280</v>
      </c>
      <c r="D44" s="477"/>
      <c r="E44" s="477"/>
      <c r="F44" s="477"/>
      <c r="G44" s="477"/>
      <c r="H44" s="477"/>
      <c r="I44" s="228" t="b">
        <v>1</v>
      </c>
      <c r="J44" s="232"/>
      <c r="K44" s="229" t="b">
        <v>0</v>
      </c>
      <c r="L44" s="218">
        <f t="shared" ref="L44:L48" si="4">IF(I44=TRUE,1,IF(J44=TRUE,0.5,IF(K44=TRUE,0,0)))</f>
        <v>1</v>
      </c>
      <c r="M44" s="507"/>
      <c r="N44" s="507"/>
      <c r="O44" s="507"/>
      <c r="P44" s="216">
        <f>IF(I44=1,'5-พฤติกรรมการปฏิบัติงาน'!U44,IF(J44=1,'5-พฤติกรรมการปฏิบัติงาน'!V44,IF(K44=1,'5-พฤติกรรมการปฏิบัติงาน'!W44,0)))</f>
        <v>0</v>
      </c>
      <c r="Q44" s="79"/>
      <c r="R44" s="83">
        <v>1</v>
      </c>
      <c r="S44" s="83">
        <v>0.5</v>
      </c>
      <c r="T44" s="83">
        <v>0</v>
      </c>
      <c r="U44" s="217">
        <f>IF('5-พฤติกรรมการปฏิบัติงาน'!M44=DataSet!F101,R44,IF('5-พฤติกรรมการปฏิบัติงาน'!M44=DataSet!F102,R44,IF('5-พฤติกรรมการปฏิบัติงาน'!M44=DataSet!F103,S44,0)))</f>
        <v>0</v>
      </c>
      <c r="V44" s="217">
        <f>IF('5-พฤติกรรมการปฏิบัติงาน'!M44=DataSet!F101,S44,IF('5-พฤติกรรมการปฏิบัติงาน'!M44=DataSet!F102,R44,IF('5-พฤติกรรมการปฏิบัติงาน'!M44=DataSet!F103,T44,0)))</f>
        <v>0</v>
      </c>
      <c r="W44" s="217">
        <f>IF('5-พฤติกรรมการปฏิบัติงาน'!M44=DataSet!F101,T44,IF('5-พฤติกรรมการปฏิบัติงาน'!M44=DataSet!F102,S44,IF('5-พฤติกรรมการปฏิบัติงาน'!M44=DataSet!F103,T44,0)))</f>
        <v>0</v>
      </c>
      <c r="X44" s="79"/>
    </row>
    <row r="45" spans="2:27" s="74" customFormat="1" x14ac:dyDescent="0.8">
      <c r="B45" s="220">
        <v>2</v>
      </c>
      <c r="C45" s="427" t="s">
        <v>281</v>
      </c>
      <c r="D45" s="428"/>
      <c r="E45" s="428"/>
      <c r="F45" s="428"/>
      <c r="G45" s="428"/>
      <c r="H45" s="470"/>
      <c r="I45" s="230" t="b">
        <v>1</v>
      </c>
      <c r="J45" s="233"/>
      <c r="K45" s="231" t="b">
        <v>0</v>
      </c>
      <c r="L45" s="218">
        <f t="shared" si="4"/>
        <v>1</v>
      </c>
      <c r="M45" s="215"/>
      <c r="N45" s="215"/>
      <c r="O45" s="215"/>
      <c r="P45" s="216">
        <f>IF(I45=1,'5-พฤติกรรมการปฏิบัติงาน'!U45,IF(J45=1,'5-พฤติกรรมการปฏิบัติงาน'!V45,IF(K45=1,'5-พฤติกรรมการปฏิบัติงาน'!W45,0)))</f>
        <v>0</v>
      </c>
      <c r="Q45" s="79"/>
      <c r="R45" s="83"/>
      <c r="S45" s="83"/>
      <c r="T45" s="83"/>
      <c r="U45" s="217"/>
      <c r="V45" s="217"/>
      <c r="W45" s="217"/>
      <c r="X45" s="79"/>
    </row>
    <row r="46" spans="2:27" s="74" customFormat="1" x14ac:dyDescent="0.8">
      <c r="B46" s="220">
        <v>3</v>
      </c>
      <c r="C46" s="476" t="s">
        <v>282</v>
      </c>
      <c r="D46" s="477"/>
      <c r="E46" s="477"/>
      <c r="F46" s="477"/>
      <c r="G46" s="477"/>
      <c r="H46" s="477"/>
      <c r="I46" s="230" t="b">
        <v>1</v>
      </c>
      <c r="J46" s="233"/>
      <c r="K46" s="231" t="b">
        <v>0</v>
      </c>
      <c r="L46" s="218">
        <f t="shared" si="4"/>
        <v>1</v>
      </c>
      <c r="M46" s="215"/>
      <c r="N46" s="215"/>
      <c r="O46" s="215"/>
      <c r="P46" s="216">
        <f>IF(I46=1,'5-พฤติกรรมการปฏิบัติงาน'!U46,IF(J46=1,'5-พฤติกรรมการปฏิบัติงาน'!V46,IF(K46=1,'5-พฤติกรรมการปฏิบัติงาน'!W46,0)))</f>
        <v>0</v>
      </c>
      <c r="Q46" s="79"/>
      <c r="R46" s="83"/>
      <c r="S46" s="83"/>
      <c r="T46" s="83"/>
      <c r="U46" s="217"/>
      <c r="V46" s="217"/>
      <c r="W46" s="217"/>
      <c r="X46" s="79"/>
    </row>
    <row r="47" spans="2:27" s="74" customFormat="1" x14ac:dyDescent="0.8">
      <c r="B47" s="220">
        <v>4</v>
      </c>
      <c r="C47" s="476" t="s">
        <v>283</v>
      </c>
      <c r="D47" s="477"/>
      <c r="E47" s="477"/>
      <c r="F47" s="477"/>
      <c r="G47" s="477"/>
      <c r="H47" s="477"/>
      <c r="I47" s="230" t="b">
        <v>1</v>
      </c>
      <c r="J47" s="233"/>
      <c r="K47" s="231" t="b">
        <v>0</v>
      </c>
      <c r="L47" s="218">
        <f t="shared" si="4"/>
        <v>1</v>
      </c>
      <c r="M47" s="215"/>
      <c r="N47" s="215"/>
      <c r="O47" s="215"/>
      <c r="P47" s="216">
        <f>IF(I47=1,'5-พฤติกรรมการปฏิบัติงาน'!U47,IF(J47=1,'5-พฤติกรรมการปฏิบัติงาน'!V47,IF(K47=1,'5-พฤติกรรมการปฏิบัติงาน'!W47,0)))</f>
        <v>0</v>
      </c>
      <c r="Q47" s="79"/>
      <c r="R47" s="83"/>
      <c r="S47" s="83"/>
      <c r="T47" s="83"/>
      <c r="U47" s="217"/>
      <c r="V47" s="217"/>
      <c r="W47" s="217"/>
      <c r="X47" s="79"/>
    </row>
    <row r="48" spans="2:27" s="74" customFormat="1" ht="24.5" thickBot="1" x14ac:dyDescent="0.85">
      <c r="B48" s="220">
        <v>5</v>
      </c>
      <c r="C48" s="501" t="s">
        <v>284</v>
      </c>
      <c r="D48" s="502"/>
      <c r="E48" s="502"/>
      <c r="F48" s="502"/>
      <c r="G48" s="502"/>
      <c r="H48" s="502"/>
      <c r="I48" s="230" t="b">
        <v>1</v>
      </c>
      <c r="J48" s="233"/>
      <c r="K48" s="231" t="b">
        <v>0</v>
      </c>
      <c r="L48" s="218">
        <f t="shared" si="4"/>
        <v>1</v>
      </c>
      <c r="M48" s="471"/>
      <c r="N48" s="471"/>
      <c r="O48" s="471"/>
      <c r="P48" s="216">
        <f>IF(I48=1,'5-พฤติกรรมการปฏิบัติงาน'!U48,IF(J48=1,'5-พฤติกรรมการปฏิบัติงาน'!V48,IF(K48=1,'5-พฤติกรรมการปฏิบัติงาน'!W48,0)))</f>
        <v>0</v>
      </c>
      <c r="Q48" s="79"/>
      <c r="R48" s="83">
        <v>1</v>
      </c>
      <c r="S48" s="83">
        <v>0.5</v>
      </c>
      <c r="T48" s="83">
        <v>0</v>
      </c>
      <c r="U48" s="217">
        <f>IF('5-พฤติกรรมการปฏิบัติงาน'!M48=DataSet!F101,R48,IF('5-พฤติกรรมการปฏิบัติงาน'!M48=DataSet!F102,R48,IF('5-พฤติกรรมการปฏิบัติงาน'!M48=DataSet!F103,S48,0)))</f>
        <v>0</v>
      </c>
      <c r="V48" s="217">
        <f>IF('5-พฤติกรรมการปฏิบัติงาน'!M48=DataSet!F101,S48,IF('5-พฤติกรรมการปฏิบัติงาน'!M48=DataSet!F102,R48,IF('5-พฤติกรรมการปฏิบัติงาน'!M48=DataSet!F103,T48,0)))</f>
        <v>0</v>
      </c>
      <c r="W48" s="217">
        <f>IF('5-พฤติกรรมการปฏิบัติงาน'!M48=DataSet!F101,T48,IF('5-พฤติกรรมการปฏิบัติงาน'!M48=DataSet!F102,S48,IF('5-พฤติกรรมการปฏิบัติงาน'!M48=DataSet!F103,T48,0)))</f>
        <v>0</v>
      </c>
      <c r="X48" s="79"/>
    </row>
    <row r="49" spans="2:27" ht="24" customHeight="1" thickBot="1" x14ac:dyDescent="0.85">
      <c r="B49" s="503" t="s">
        <v>285</v>
      </c>
      <c r="C49" s="504"/>
      <c r="D49" s="504"/>
      <c r="E49" s="504"/>
      <c r="F49" s="504"/>
      <c r="G49" s="504"/>
      <c r="H49" s="504"/>
      <c r="I49" s="474" t="s">
        <v>205</v>
      </c>
      <c r="J49" s="475"/>
      <c r="K49" s="203">
        <f>IF(SUM(L52:L56)&gt;=1,2,0)</f>
        <v>2</v>
      </c>
      <c r="L49" s="204" t="s">
        <v>16</v>
      </c>
      <c r="M49" s="505" t="s">
        <v>219</v>
      </c>
      <c r="N49" s="506"/>
      <c r="O49" s="205">
        <f>(SUM(P52:P56)*4)/6</f>
        <v>0</v>
      </c>
      <c r="P49" s="206" t="s">
        <v>16</v>
      </c>
      <c r="Q49" s="207"/>
      <c r="R49" s="207"/>
      <c r="U49" s="217"/>
      <c r="W49" s="83"/>
    </row>
    <row r="50" spans="2:27" s="95" customFormat="1" ht="24.75" customHeight="1" x14ac:dyDescent="0.8">
      <c r="B50" s="496" t="s">
        <v>102</v>
      </c>
      <c r="C50" s="483" t="s">
        <v>223</v>
      </c>
      <c r="D50" s="484"/>
      <c r="E50" s="484"/>
      <c r="F50" s="484"/>
      <c r="G50" s="484"/>
      <c r="H50" s="485"/>
      <c r="I50" s="489" t="s">
        <v>205</v>
      </c>
      <c r="J50" s="490"/>
      <c r="K50" s="490"/>
      <c r="L50" s="494" t="s">
        <v>16</v>
      </c>
      <c r="M50" s="499" t="s">
        <v>206</v>
      </c>
      <c r="N50" s="499"/>
      <c r="O50" s="499"/>
      <c r="P50" s="491" t="s">
        <v>16</v>
      </c>
      <c r="Q50" s="208"/>
      <c r="R50" s="208"/>
      <c r="S50" s="84"/>
      <c r="T50" s="84"/>
      <c r="U50" s="217"/>
      <c r="V50" s="84"/>
      <c r="W50" s="84"/>
      <c r="X50" s="84"/>
      <c r="Y50" s="106"/>
      <c r="Z50" s="106"/>
      <c r="AA50" s="106"/>
    </row>
    <row r="51" spans="2:27" s="95" customFormat="1" ht="24.75" customHeight="1" thickBot="1" x14ac:dyDescent="0.85">
      <c r="B51" s="497"/>
      <c r="C51" s="486"/>
      <c r="D51" s="487"/>
      <c r="E51" s="487"/>
      <c r="F51" s="487"/>
      <c r="G51" s="487"/>
      <c r="H51" s="488"/>
      <c r="I51" s="209" t="s">
        <v>214</v>
      </c>
      <c r="J51" s="288"/>
      <c r="K51" s="210" t="s">
        <v>213</v>
      </c>
      <c r="L51" s="495"/>
      <c r="M51" s="508"/>
      <c r="N51" s="508"/>
      <c r="O51" s="508"/>
      <c r="P51" s="492"/>
      <c r="Q51" s="208"/>
      <c r="R51" s="208"/>
      <c r="S51" s="84"/>
      <c r="T51" s="84"/>
      <c r="U51" s="217"/>
      <c r="V51" s="84"/>
      <c r="W51" s="84"/>
      <c r="X51" s="84"/>
      <c r="Y51" s="106"/>
      <c r="Z51" s="106"/>
      <c r="AA51" s="106"/>
    </row>
    <row r="52" spans="2:27" x14ac:dyDescent="0.8">
      <c r="B52" s="214">
        <v>1</v>
      </c>
      <c r="C52" s="510" t="s">
        <v>382</v>
      </c>
      <c r="D52" s="510"/>
      <c r="E52" s="510"/>
      <c r="F52" s="510"/>
      <c r="G52" s="510"/>
      <c r="H52" s="511"/>
      <c r="I52" s="228" t="b">
        <v>1</v>
      </c>
      <c r="J52" s="232"/>
      <c r="K52" s="229" t="b">
        <v>0</v>
      </c>
      <c r="L52" s="218">
        <f>IF(I52=TRUE,1,IF(J52=TRUE,0.5,IF(K52=TRUE,0,0)))</f>
        <v>1</v>
      </c>
      <c r="M52" s="493"/>
      <c r="N52" s="493"/>
      <c r="O52" s="493"/>
      <c r="P52" s="222">
        <f>IF(I52=1,'5-พฤติกรรมการปฏิบัติงาน'!U52,IF(J52=1,'5-พฤติกรรมการปฏิบัติงาน'!V52,IF(K52=1,'5-พฤติกรรมการปฏิบัติงาน'!W52,0)))</f>
        <v>0</v>
      </c>
      <c r="R52" s="83">
        <v>1</v>
      </c>
      <c r="S52" s="83">
        <v>0.5</v>
      </c>
      <c r="T52" s="83">
        <v>0</v>
      </c>
      <c r="U52" s="217">
        <f>IF('5-พฤติกรรมการปฏิบัติงาน'!M52=DataSet!F101,R52,IF('5-พฤติกรรมการปฏิบัติงาน'!M52=DataSet!F102,R52,IF('5-พฤติกรรมการปฏิบัติงาน'!M52=DataSet!F103,S52,0)))</f>
        <v>0</v>
      </c>
      <c r="V52" s="217">
        <f>IF('5-พฤติกรรมการปฏิบัติงาน'!M52=DataSet!F101,S52,IF('5-พฤติกรรมการปฏิบัติงาน'!M52=DataSet!F102,R52,IF('5-พฤติกรรมการปฏิบัติงาน'!M52=DataSet!F103,T52,0)))</f>
        <v>0</v>
      </c>
      <c r="W52" s="217">
        <f>IF('5-พฤติกรรมการปฏิบัติงาน'!M52=DataSet!F101,T52,IF('5-พฤติกรรมการปฏิบัติงาน'!M52=DataSet!F102,S52,IF('5-พฤติกรรมการปฏิบัติงาน'!M52=DataSet!F103,T52,0)))</f>
        <v>0</v>
      </c>
    </row>
    <row r="53" spans="2:27" x14ac:dyDescent="0.8">
      <c r="B53" s="214">
        <v>2</v>
      </c>
      <c r="C53" s="481" t="s">
        <v>383</v>
      </c>
      <c r="D53" s="481"/>
      <c r="E53" s="481"/>
      <c r="F53" s="481"/>
      <c r="G53" s="481"/>
      <c r="H53" s="482"/>
      <c r="I53" s="230" t="b">
        <v>1</v>
      </c>
      <c r="J53" s="233"/>
      <c r="K53" s="231" t="b">
        <v>0</v>
      </c>
      <c r="L53" s="218">
        <f t="shared" ref="L53:L56" si="5">IF(I53=TRUE,1,IF(J53=TRUE,0.5,IF(K53=TRUE,0,0)))</f>
        <v>1</v>
      </c>
      <c r="M53" s="471"/>
      <c r="N53" s="471"/>
      <c r="O53" s="471"/>
      <c r="P53" s="219">
        <f>IF(I53=1,'5-พฤติกรรมการปฏิบัติงาน'!U53,IF(J53=1,'5-พฤติกรรมการปฏิบัติงาน'!V53,IF(K53=1,'5-พฤติกรรมการปฏิบัติงาน'!W53,0)))</f>
        <v>0</v>
      </c>
      <c r="R53" s="83">
        <v>1</v>
      </c>
      <c r="S53" s="83">
        <v>0.5</v>
      </c>
      <c r="T53" s="83">
        <v>0</v>
      </c>
      <c r="U53" s="217">
        <f>IF('5-พฤติกรรมการปฏิบัติงาน'!M53=DataSet!F101,R53,IF('5-พฤติกรรมการปฏิบัติงาน'!M53=DataSet!F102,R53,IF('5-พฤติกรรมการปฏิบัติงาน'!M53=DataSet!F103,S53,0)))</f>
        <v>0</v>
      </c>
      <c r="V53" s="217">
        <f>IF('5-พฤติกรรมการปฏิบัติงาน'!M53=DataSet!F101,S53,IF('5-พฤติกรรมการปฏิบัติงาน'!M53=DataSet!F102,R53,IF('5-พฤติกรรมการปฏิบัติงาน'!M53=DataSet!F103,T53,0)))</f>
        <v>0</v>
      </c>
      <c r="W53" s="217">
        <f>IF('5-พฤติกรรมการปฏิบัติงาน'!M53=DataSet!F101,T53,IF('5-พฤติกรรมการปฏิบัติงาน'!M53=DataSet!F102,S53,IF('5-พฤติกรรมการปฏิบัติงาน'!M53=DataSet!F103,T53,0)))</f>
        <v>0</v>
      </c>
    </row>
    <row r="54" spans="2:27" x14ac:dyDescent="0.8">
      <c r="B54" s="214">
        <v>3</v>
      </c>
      <c r="C54" s="481" t="s">
        <v>384</v>
      </c>
      <c r="D54" s="481"/>
      <c r="E54" s="481"/>
      <c r="F54" s="481"/>
      <c r="G54" s="481"/>
      <c r="H54" s="482"/>
      <c r="I54" s="230" t="b">
        <v>1</v>
      </c>
      <c r="J54" s="233"/>
      <c r="K54" s="231" t="b">
        <v>0</v>
      </c>
      <c r="L54" s="218">
        <f t="shared" si="5"/>
        <v>1</v>
      </c>
      <c r="M54" s="183"/>
      <c r="N54" s="183"/>
      <c r="O54" s="183"/>
      <c r="P54" s="219">
        <f>IF(I54=1,'5-พฤติกรรมการปฏิบัติงาน'!U54,IF(J54=1,'5-พฤติกรรมการปฏิบัติงาน'!V54,IF(K54=1,'5-พฤติกรรมการปฏิบัติงาน'!W54,0)))</f>
        <v>0</v>
      </c>
      <c r="R54" s="83"/>
      <c r="U54" s="217"/>
      <c r="V54" s="217"/>
      <c r="W54" s="217"/>
    </row>
    <row r="55" spans="2:27" x14ac:dyDescent="0.8">
      <c r="B55" s="214">
        <v>4</v>
      </c>
      <c r="C55" s="481" t="s">
        <v>385</v>
      </c>
      <c r="D55" s="481"/>
      <c r="E55" s="481"/>
      <c r="F55" s="481"/>
      <c r="G55" s="481"/>
      <c r="H55" s="482"/>
      <c r="I55" s="230" t="b">
        <v>1</v>
      </c>
      <c r="J55" s="233"/>
      <c r="K55" s="231" t="b">
        <v>0</v>
      </c>
      <c r="L55" s="218">
        <f t="shared" si="5"/>
        <v>1</v>
      </c>
      <c r="M55" s="183"/>
      <c r="N55" s="183"/>
      <c r="O55" s="183"/>
      <c r="P55" s="219">
        <f>IF(I55=1,'5-พฤติกรรมการปฏิบัติงาน'!U55,IF(J55=1,'5-พฤติกรรมการปฏิบัติงาน'!V55,IF(K55=1,'5-พฤติกรรมการปฏิบัติงาน'!W55,0)))</f>
        <v>0</v>
      </c>
      <c r="R55" s="83"/>
      <c r="U55" s="217"/>
      <c r="V55" s="217"/>
      <c r="W55" s="217"/>
    </row>
    <row r="56" spans="2:27" ht="24.5" thickBot="1" x14ac:dyDescent="0.85">
      <c r="B56" s="214">
        <v>5</v>
      </c>
      <c r="C56" s="481" t="s">
        <v>386</v>
      </c>
      <c r="D56" s="481"/>
      <c r="E56" s="481"/>
      <c r="F56" s="481"/>
      <c r="G56" s="481"/>
      <c r="H56" s="482"/>
      <c r="I56" s="230" t="b">
        <v>1</v>
      </c>
      <c r="J56" s="233"/>
      <c r="K56" s="231" t="b">
        <v>0</v>
      </c>
      <c r="L56" s="218">
        <f t="shared" si="5"/>
        <v>1</v>
      </c>
      <c r="M56" s="471"/>
      <c r="N56" s="471"/>
      <c r="O56" s="471"/>
      <c r="P56" s="219">
        <f>IF(I56=1,'5-พฤติกรรมการปฏิบัติงาน'!U56,IF(J56=1,'5-พฤติกรรมการปฏิบัติงาน'!V56,IF(K56=1,'5-พฤติกรรมการปฏิบัติงาน'!W56,0)))</f>
        <v>0</v>
      </c>
      <c r="R56" s="83">
        <v>1</v>
      </c>
      <c r="S56" s="83">
        <v>0.5</v>
      </c>
      <c r="T56" s="83">
        <v>0</v>
      </c>
      <c r="U56" s="217">
        <f>IF('5-พฤติกรรมการปฏิบัติงาน'!M56=DataSet!F101,R56,IF('5-พฤติกรรมการปฏิบัติงาน'!M56=DataSet!F102,R56,IF('5-พฤติกรรมการปฏิบัติงาน'!M56=DataSet!F103,S56,0)))</f>
        <v>0</v>
      </c>
      <c r="V56" s="217">
        <f>IF('5-พฤติกรรมการปฏิบัติงาน'!M56=DataSet!F101,S56,IF('5-พฤติกรรมการปฏิบัติงาน'!M56=DataSet!F102,R56,IF('5-พฤติกรรมการปฏิบัติงาน'!M56=DataSet!F103,T56,0)))</f>
        <v>0</v>
      </c>
      <c r="W56" s="217">
        <f>IF('5-พฤติกรรมการปฏิบัติงาน'!M56=DataSet!F101,T56,IF('5-พฤติกรรมการปฏิบัติงาน'!M56=DataSet!F102,S56,IF('5-พฤติกรรมการปฏิบัติงาน'!M56=DataSet!F103,T56,0)))</f>
        <v>0</v>
      </c>
    </row>
    <row r="57" spans="2:27" ht="24" customHeight="1" thickBot="1" x14ac:dyDescent="0.85">
      <c r="B57" s="503" t="s">
        <v>286</v>
      </c>
      <c r="C57" s="504"/>
      <c r="D57" s="504"/>
      <c r="E57" s="504"/>
      <c r="F57" s="504"/>
      <c r="G57" s="504"/>
      <c r="H57" s="504"/>
      <c r="I57" s="474" t="s">
        <v>205</v>
      </c>
      <c r="J57" s="475"/>
      <c r="K57" s="203">
        <f>(SUM(L60:L65)*20)/20</f>
        <v>40</v>
      </c>
      <c r="L57" s="204" t="s">
        <v>16</v>
      </c>
      <c r="M57" s="505" t="s">
        <v>219</v>
      </c>
      <c r="N57" s="506"/>
      <c r="O57" s="205">
        <f>(SUM(P60:P62)*5)/5</f>
        <v>0</v>
      </c>
      <c r="P57" s="206" t="s">
        <v>16</v>
      </c>
      <c r="Q57" s="207"/>
      <c r="R57" s="83"/>
      <c r="U57" s="217"/>
      <c r="V57" s="217"/>
      <c r="W57" s="83"/>
    </row>
    <row r="58" spans="2:27" s="95" customFormat="1" ht="24.75" customHeight="1" x14ac:dyDescent="0.8">
      <c r="B58" s="496" t="s">
        <v>102</v>
      </c>
      <c r="C58" s="483" t="s">
        <v>223</v>
      </c>
      <c r="D58" s="484"/>
      <c r="E58" s="484"/>
      <c r="F58" s="484"/>
      <c r="G58" s="484"/>
      <c r="H58" s="485"/>
      <c r="I58" s="489" t="s">
        <v>205</v>
      </c>
      <c r="J58" s="490"/>
      <c r="K58" s="490"/>
      <c r="L58" s="494" t="s">
        <v>16</v>
      </c>
      <c r="M58" s="499" t="s">
        <v>206</v>
      </c>
      <c r="N58" s="499"/>
      <c r="O58" s="499"/>
      <c r="P58" s="491" t="s">
        <v>16</v>
      </c>
      <c r="Q58" s="208"/>
      <c r="R58" s="83"/>
      <c r="S58" s="83"/>
      <c r="T58" s="83"/>
      <c r="U58" s="217"/>
      <c r="V58" s="217"/>
      <c r="W58" s="83"/>
      <c r="X58" s="84"/>
      <c r="Y58" s="106"/>
      <c r="Z58" s="106"/>
      <c r="AA58" s="106"/>
    </row>
    <row r="59" spans="2:27" s="95" customFormat="1" ht="24.75" customHeight="1" thickBot="1" x14ac:dyDescent="0.85">
      <c r="B59" s="497"/>
      <c r="C59" s="486"/>
      <c r="D59" s="487"/>
      <c r="E59" s="487"/>
      <c r="F59" s="487"/>
      <c r="G59" s="487"/>
      <c r="H59" s="488"/>
      <c r="I59" s="209" t="s">
        <v>214</v>
      </c>
      <c r="J59" s="288"/>
      <c r="K59" s="211" t="s">
        <v>213</v>
      </c>
      <c r="L59" s="509"/>
      <c r="M59" s="500"/>
      <c r="N59" s="500"/>
      <c r="O59" s="500"/>
      <c r="P59" s="498"/>
      <c r="Q59" s="208"/>
      <c r="R59" s="83"/>
      <c r="S59" s="83"/>
      <c r="T59" s="83"/>
      <c r="U59" s="217"/>
      <c r="V59" s="217"/>
      <c r="W59" s="83"/>
      <c r="X59" s="84"/>
      <c r="Y59" s="106"/>
      <c r="Z59" s="106"/>
      <c r="AA59" s="106"/>
    </row>
    <row r="60" spans="2:27" s="95" customFormat="1" ht="24.75" customHeight="1" x14ac:dyDescent="0.8">
      <c r="B60" s="223">
        <v>1</v>
      </c>
      <c r="C60" s="480" t="s">
        <v>409</v>
      </c>
      <c r="D60" s="480"/>
      <c r="E60" s="480"/>
      <c r="F60" s="480"/>
      <c r="G60" s="480"/>
      <c r="H60" s="318"/>
      <c r="I60" s="228" t="b">
        <v>1</v>
      </c>
      <c r="J60" s="232"/>
      <c r="K60" s="229" t="b">
        <v>0</v>
      </c>
      <c r="L60" s="218">
        <f>IF(I60=TRUE,4,IF(K60=TRUE,0,0))</f>
        <v>4</v>
      </c>
      <c r="M60" s="471"/>
      <c r="N60" s="471"/>
      <c r="O60" s="471"/>
      <c r="P60" s="224">
        <f>IF(I60=1,'5-พฤติกรรมการปฏิบัติงาน'!U60,IF(J60=1,'5-พฤติกรรมการปฏิบัติงาน'!V60,IF(K60=1,'5-พฤติกรรมการปฏิบัติงาน'!W60,0)))</f>
        <v>0</v>
      </c>
      <c r="Q60" s="208"/>
      <c r="R60" s="83">
        <v>1</v>
      </c>
      <c r="S60" s="83">
        <v>0.5</v>
      </c>
      <c r="T60" s="83">
        <v>0</v>
      </c>
      <c r="U60" s="217">
        <f>IF('5-พฤติกรรมการปฏิบัติงาน'!M60=DataSet!F101,R60,IF('5-พฤติกรรมการปฏิบัติงาน'!M60=DataSet!F102,R60,IF('5-พฤติกรรมการปฏิบัติงาน'!M60=DataSet!F103,S60,0)))</f>
        <v>0</v>
      </c>
      <c r="V60" s="217">
        <f>IF('5-พฤติกรรมการปฏิบัติงาน'!M60=DataSet!F101,S60,IF('5-พฤติกรรมการปฏิบัติงาน'!M60=DataSet!F102,R60,IF('5-พฤติกรรมการปฏิบัติงาน'!M60=DataSet!F103,T60,0)))</f>
        <v>0</v>
      </c>
      <c r="W60" s="217">
        <f>IF('5-พฤติกรรมการปฏิบัติงาน'!M60=DataSet!F101,T60,IF('5-พฤติกรรมการปฏิบัติงาน'!M60=DataSet!F102,S60,IF('5-พฤติกรรมการปฏิบัติงาน'!M60=DataSet!F103,T60,0)))</f>
        <v>0</v>
      </c>
      <c r="X60" s="84"/>
      <c r="Y60" s="106"/>
      <c r="Z60" s="106"/>
      <c r="AA60" s="106"/>
    </row>
    <row r="61" spans="2:27" s="95" customFormat="1" ht="24.75" customHeight="1" x14ac:dyDescent="0.8">
      <c r="B61" s="225">
        <v>2</v>
      </c>
      <c r="C61" s="472" t="s">
        <v>410</v>
      </c>
      <c r="D61" s="478"/>
      <c r="E61" s="478"/>
      <c r="F61" s="478"/>
      <c r="G61" s="478"/>
      <c r="H61" s="479"/>
      <c r="I61" s="230" t="b">
        <v>1</v>
      </c>
      <c r="J61" s="233"/>
      <c r="K61" s="231" t="b">
        <v>0</v>
      </c>
      <c r="L61" s="218">
        <f>IF(I61=TRUE,6,IF(K61=TRUE,0,0))</f>
        <v>6</v>
      </c>
      <c r="M61" s="471"/>
      <c r="N61" s="471"/>
      <c r="O61" s="471"/>
      <c r="P61" s="224">
        <f>IF(I61=1,'5-พฤติกรรมการปฏิบัติงาน'!U61,IF(J61=1,'5-พฤติกรรมการปฏิบัติงาน'!V61,IF(K61=1,'5-พฤติกรรมการปฏิบัติงาน'!W61,0)))</f>
        <v>0</v>
      </c>
      <c r="Q61" s="208"/>
      <c r="R61" s="83">
        <v>1</v>
      </c>
      <c r="S61" s="83">
        <v>0.5</v>
      </c>
      <c r="T61" s="83">
        <v>0</v>
      </c>
      <c r="U61" s="217">
        <f>IF('5-พฤติกรรมการปฏิบัติงาน'!M61=DataSet!F101,R61,IF('5-พฤติกรรมการปฏิบัติงาน'!M61=DataSet!F102,R61,IF('5-พฤติกรรมการปฏิบัติงาน'!M61=DataSet!F103,S61,0)))</f>
        <v>0</v>
      </c>
      <c r="V61" s="217">
        <f>IF('5-พฤติกรรมการปฏิบัติงาน'!M61=DataSet!F101,S61,IF('5-พฤติกรรมการปฏิบัติงาน'!M61=DataSet!F102,R61,IF('5-พฤติกรรมการปฏิบัติงาน'!M61=DataSet!F103,T61,0)))</f>
        <v>0</v>
      </c>
      <c r="W61" s="217">
        <f>IF('5-พฤติกรรมการปฏิบัติงาน'!M61=DataSet!F101,T61,IF('5-พฤติกรรมการปฏิบัติงาน'!M61=DataSet!F102,S61,IF('5-พฤติกรรมการปฏิบัติงาน'!M61=DataSet!F103,T61,0)))</f>
        <v>0</v>
      </c>
      <c r="X61" s="84"/>
      <c r="Y61" s="106"/>
      <c r="Z61" s="106"/>
      <c r="AA61" s="106"/>
    </row>
    <row r="62" spans="2:27" s="95" customFormat="1" ht="24.75" customHeight="1" x14ac:dyDescent="0.8">
      <c r="B62" s="225">
        <v>3</v>
      </c>
      <c r="C62" s="478" t="s">
        <v>411</v>
      </c>
      <c r="D62" s="478"/>
      <c r="E62" s="478"/>
      <c r="F62" s="478"/>
      <c r="G62" s="478"/>
      <c r="H62" s="479"/>
      <c r="I62" s="290"/>
      <c r="J62" s="289"/>
      <c r="K62" s="246"/>
      <c r="L62" s="218"/>
      <c r="M62" s="471"/>
      <c r="N62" s="471"/>
      <c r="O62" s="471"/>
      <c r="P62" s="224">
        <f>IF(I62=1,'5-พฤติกรรมการปฏิบัติงาน'!U62,IF(J62=1,'5-พฤติกรรมการปฏิบัติงาน'!V62,IF(K62=1,'5-พฤติกรรมการปฏิบัติงาน'!W62,0)))</f>
        <v>0</v>
      </c>
      <c r="Q62" s="208"/>
      <c r="R62" s="83">
        <v>1</v>
      </c>
      <c r="S62" s="83">
        <v>0.5</v>
      </c>
      <c r="T62" s="83">
        <v>0</v>
      </c>
      <c r="U62" s="217">
        <f>IF('5-พฤติกรรมการปฏิบัติงาน'!M62=DataSet!F101,R62,IF('5-พฤติกรรมการปฏิบัติงาน'!M62=DataSet!F102,R62,IF('5-พฤติกรรมการปฏิบัติงาน'!M62=DataSet!F103,S62,0)))</f>
        <v>0</v>
      </c>
      <c r="V62" s="217">
        <f>IF('5-พฤติกรรมการปฏิบัติงาน'!M62=DataSet!F101,S62,IF('5-พฤติกรรมการปฏิบัติงาน'!M62=DataSet!F102,R62,IF('5-พฤติกรรมการปฏิบัติงาน'!M62=DataSet!F103,T62,0)))</f>
        <v>0</v>
      </c>
      <c r="W62" s="217">
        <f>IF('5-พฤติกรรมการปฏิบัติงาน'!M62=DataSet!F101,T62,IF('5-พฤติกรรมการปฏิบัติงาน'!M62=DataSet!F102,S62,IF('5-พฤติกรรมการปฏิบัติงาน'!M62=DataSet!F103,T62,0)))</f>
        <v>0</v>
      </c>
      <c r="X62" s="84"/>
      <c r="Y62" s="106"/>
      <c r="Z62" s="106"/>
      <c r="AA62" s="106"/>
    </row>
    <row r="63" spans="2:27" s="74" customFormat="1" x14ac:dyDescent="0.8">
      <c r="B63" s="225"/>
      <c r="C63" s="478" t="s">
        <v>414</v>
      </c>
      <c r="D63" s="478"/>
      <c r="E63" s="478"/>
      <c r="F63" s="478"/>
      <c r="G63" s="478"/>
      <c r="H63" s="479"/>
      <c r="I63" s="245" t="b">
        <v>1</v>
      </c>
      <c r="J63" s="289"/>
      <c r="K63" s="247" t="b">
        <v>0</v>
      </c>
      <c r="L63" s="218">
        <f t="shared" ref="L63:L65" si="6">IF(I63=TRUE,10,IF(K63=TRUE,0,0))</f>
        <v>10</v>
      </c>
      <c r="M63" s="471"/>
      <c r="N63" s="471"/>
      <c r="O63" s="471"/>
      <c r="P63" s="224">
        <f>IF(I63=1,'5-พฤติกรรมการปฏิบัติงาน'!U63,IF(J63=1,'5-พฤติกรรมการปฏิบัติงาน'!V63,IF(K63=1,'5-พฤติกรรมการปฏิบัติงาน'!W63,0)))</f>
        <v>0</v>
      </c>
      <c r="Q63" s="79"/>
      <c r="R63" s="79"/>
      <c r="S63" s="83"/>
      <c r="T63" s="83"/>
      <c r="U63" s="217"/>
      <c r="V63" s="79"/>
      <c r="W63" s="79"/>
      <c r="X63" s="79"/>
    </row>
    <row r="64" spans="2:27" s="74" customFormat="1" ht="69" customHeight="1" x14ac:dyDescent="0.8">
      <c r="B64" s="225"/>
      <c r="C64" s="472" t="s">
        <v>413</v>
      </c>
      <c r="D64" s="472"/>
      <c r="E64" s="472"/>
      <c r="F64" s="472"/>
      <c r="G64" s="472"/>
      <c r="H64" s="473"/>
      <c r="I64" s="245" t="b">
        <v>1</v>
      </c>
      <c r="J64" s="289"/>
      <c r="K64" s="247" t="b">
        <v>0</v>
      </c>
      <c r="L64" s="218">
        <f t="shared" si="6"/>
        <v>10</v>
      </c>
      <c r="M64" s="471"/>
      <c r="N64" s="471"/>
      <c r="O64" s="471"/>
      <c r="P64" s="224">
        <f>IF(I64=1,'5-พฤติกรรมการปฏิบัติงาน'!U64,IF(J64=1,'5-พฤติกรรมการปฏิบัติงาน'!V64,IF(K64=1,'5-พฤติกรรมการปฏิบัติงาน'!W64,0)))</f>
        <v>0</v>
      </c>
      <c r="Q64" s="79"/>
      <c r="R64" s="79"/>
      <c r="S64" s="83"/>
      <c r="T64" s="83"/>
      <c r="U64" s="217"/>
      <c r="V64" s="79"/>
      <c r="W64" s="79"/>
      <c r="X64" s="79"/>
    </row>
    <row r="65" spans="2:24" s="74" customFormat="1" ht="48.5" customHeight="1" x14ac:dyDescent="0.8">
      <c r="B65" s="225"/>
      <c r="C65" s="472" t="s">
        <v>412</v>
      </c>
      <c r="D65" s="472"/>
      <c r="E65" s="472"/>
      <c r="F65" s="472"/>
      <c r="G65" s="472"/>
      <c r="H65" s="473"/>
      <c r="I65" s="245" t="b">
        <v>1</v>
      </c>
      <c r="J65" s="289"/>
      <c r="K65" s="247" t="b">
        <v>0</v>
      </c>
      <c r="L65" s="218">
        <f t="shared" si="6"/>
        <v>10</v>
      </c>
      <c r="M65" s="471"/>
      <c r="N65" s="471"/>
      <c r="O65" s="471"/>
      <c r="P65" s="224">
        <f>IF(I65=1,'5-พฤติกรรมการปฏิบัติงาน'!U65,IF(J65=1,'5-พฤติกรรมการปฏิบัติงาน'!V65,IF(K65=1,'5-พฤติกรรมการปฏิบัติงาน'!W65,0)))</f>
        <v>0</v>
      </c>
      <c r="Q65" s="79"/>
      <c r="R65" s="79"/>
      <c r="S65" s="83"/>
      <c r="T65" s="83"/>
      <c r="U65" s="217"/>
      <c r="V65" s="79"/>
      <c r="W65" s="79"/>
      <c r="X65" s="79"/>
    </row>
    <row r="66" spans="2:24" s="74" customFormat="1" x14ac:dyDescent="0.8">
      <c r="D66" s="123"/>
      <c r="E66" s="123"/>
      <c r="J66" s="123"/>
      <c r="K66" s="123"/>
      <c r="L66" s="123"/>
      <c r="M66" s="172"/>
      <c r="Q66" s="79"/>
      <c r="R66" s="79"/>
      <c r="S66" s="83"/>
      <c r="T66" s="83"/>
      <c r="U66" s="217"/>
      <c r="V66" s="79"/>
      <c r="W66" s="79"/>
      <c r="X66" s="79"/>
    </row>
    <row r="67" spans="2:24" s="74" customFormat="1" x14ac:dyDescent="0.8">
      <c r="D67" s="123"/>
      <c r="E67" s="123"/>
      <c r="J67" s="123"/>
      <c r="K67" s="123"/>
      <c r="L67" s="123"/>
      <c r="M67" s="172"/>
      <c r="Q67" s="79"/>
      <c r="R67" s="79"/>
      <c r="S67" s="83"/>
      <c r="T67" s="83"/>
      <c r="U67" s="217"/>
      <c r="V67" s="79"/>
      <c r="W67" s="79"/>
      <c r="X67" s="79"/>
    </row>
    <row r="68" spans="2:24" s="74" customFormat="1" x14ac:dyDescent="0.8">
      <c r="D68" s="123"/>
      <c r="E68" s="123"/>
      <c r="J68" s="123"/>
      <c r="K68" s="123"/>
      <c r="L68" s="123"/>
      <c r="M68" s="172"/>
      <c r="Q68" s="79"/>
      <c r="R68" s="79"/>
      <c r="S68" s="83"/>
      <c r="T68" s="83"/>
      <c r="U68" s="217"/>
      <c r="V68" s="79"/>
      <c r="W68" s="79"/>
      <c r="X68" s="79"/>
    </row>
    <row r="69" spans="2:24" s="74" customFormat="1" x14ac:dyDescent="0.8">
      <c r="D69" s="123"/>
      <c r="E69" s="123"/>
      <c r="J69" s="123"/>
      <c r="K69" s="123"/>
      <c r="L69" s="123"/>
      <c r="M69" s="172"/>
      <c r="Q69" s="79"/>
      <c r="R69" s="79"/>
      <c r="S69" s="83"/>
      <c r="T69" s="83"/>
      <c r="U69" s="217"/>
      <c r="V69" s="79"/>
      <c r="W69" s="79"/>
      <c r="X69" s="79"/>
    </row>
    <row r="70" spans="2:24" s="74" customFormat="1" x14ac:dyDescent="0.8">
      <c r="D70" s="123"/>
      <c r="E70" s="123"/>
      <c r="J70" s="123"/>
      <c r="K70" s="123"/>
      <c r="L70" s="123"/>
      <c r="M70" s="172"/>
      <c r="Q70" s="79"/>
      <c r="R70" s="79"/>
      <c r="S70" s="83"/>
      <c r="T70" s="83"/>
      <c r="U70" s="217"/>
      <c r="V70" s="79"/>
      <c r="W70" s="79"/>
      <c r="X70" s="79"/>
    </row>
    <row r="71" spans="2:24" s="74" customFormat="1" x14ac:dyDescent="0.8">
      <c r="D71" s="123"/>
      <c r="E71" s="123"/>
      <c r="J71" s="123"/>
      <c r="K71" s="123"/>
      <c r="L71" s="123"/>
      <c r="M71" s="172"/>
      <c r="Q71" s="79"/>
      <c r="R71" s="79"/>
      <c r="S71" s="83"/>
      <c r="T71" s="83"/>
      <c r="U71" s="217"/>
      <c r="V71" s="79"/>
      <c r="W71" s="79"/>
      <c r="X71" s="79"/>
    </row>
    <row r="72" spans="2:24" s="74" customFormat="1" x14ac:dyDescent="0.8">
      <c r="D72" s="123"/>
      <c r="E72" s="123"/>
      <c r="J72" s="123"/>
      <c r="K72" s="123"/>
      <c r="L72" s="123"/>
      <c r="M72" s="172"/>
      <c r="Q72" s="79"/>
      <c r="R72" s="79"/>
      <c r="S72" s="83"/>
      <c r="T72" s="83"/>
      <c r="U72" s="217"/>
      <c r="V72" s="79"/>
      <c r="W72" s="79"/>
      <c r="X72" s="79"/>
    </row>
    <row r="73" spans="2:24" s="74" customFormat="1" x14ac:dyDescent="0.8">
      <c r="D73" s="123"/>
      <c r="E73" s="123"/>
      <c r="J73" s="123"/>
      <c r="K73" s="123"/>
      <c r="L73" s="123"/>
      <c r="M73" s="172"/>
      <c r="Q73" s="79"/>
      <c r="R73" s="79"/>
      <c r="S73" s="83"/>
      <c r="T73" s="83"/>
      <c r="U73" s="217"/>
      <c r="V73" s="79"/>
      <c r="W73" s="79"/>
      <c r="X73" s="79"/>
    </row>
    <row r="74" spans="2:24" s="74" customFormat="1" x14ac:dyDescent="0.8">
      <c r="D74" s="123"/>
      <c r="E74" s="123"/>
      <c r="J74" s="123"/>
      <c r="K74" s="123"/>
      <c r="L74" s="123"/>
      <c r="M74" s="172"/>
      <c r="Q74" s="79"/>
      <c r="R74" s="79"/>
      <c r="S74" s="83"/>
      <c r="T74" s="83"/>
      <c r="U74" s="217"/>
      <c r="V74" s="79"/>
      <c r="W74" s="79"/>
      <c r="X74" s="79"/>
    </row>
    <row r="75" spans="2:24" s="74" customFormat="1" x14ac:dyDescent="0.8">
      <c r="D75" s="123"/>
      <c r="E75" s="123"/>
      <c r="J75" s="123"/>
      <c r="K75" s="123"/>
      <c r="L75" s="123"/>
      <c r="M75" s="172"/>
      <c r="Q75" s="79"/>
      <c r="R75" s="79"/>
      <c r="S75" s="83"/>
      <c r="T75" s="83"/>
      <c r="U75" s="217"/>
      <c r="V75" s="79"/>
      <c r="W75" s="79"/>
      <c r="X75" s="79"/>
    </row>
    <row r="76" spans="2:24" s="74" customFormat="1" x14ac:dyDescent="0.8">
      <c r="D76" s="123"/>
      <c r="E76" s="123"/>
      <c r="J76" s="123"/>
      <c r="K76" s="123"/>
      <c r="L76" s="123"/>
      <c r="M76" s="172"/>
      <c r="Q76" s="79"/>
      <c r="R76" s="79"/>
      <c r="S76" s="83"/>
      <c r="T76" s="83"/>
      <c r="U76" s="217"/>
      <c r="V76" s="79"/>
      <c r="W76" s="79"/>
      <c r="X76" s="79"/>
    </row>
    <row r="77" spans="2:24" s="74" customFormat="1" x14ac:dyDescent="0.8">
      <c r="D77" s="123"/>
      <c r="E77" s="123"/>
      <c r="J77" s="123"/>
      <c r="K77" s="123"/>
      <c r="L77" s="123"/>
      <c r="M77" s="172"/>
      <c r="Q77" s="79"/>
      <c r="R77" s="79"/>
      <c r="S77" s="83"/>
      <c r="T77" s="83"/>
      <c r="U77" s="217"/>
      <c r="V77" s="79"/>
      <c r="W77" s="79"/>
      <c r="X77" s="79"/>
    </row>
    <row r="78" spans="2:24" s="74" customFormat="1" x14ac:dyDescent="0.8">
      <c r="D78" s="123"/>
      <c r="E78" s="123"/>
      <c r="J78" s="123"/>
      <c r="K78" s="123"/>
      <c r="L78" s="123"/>
      <c r="M78" s="172"/>
      <c r="Q78" s="79"/>
      <c r="R78" s="79"/>
      <c r="S78" s="83"/>
      <c r="T78" s="83"/>
      <c r="U78" s="83"/>
      <c r="V78" s="79"/>
      <c r="W78" s="79"/>
      <c r="X78" s="79"/>
    </row>
    <row r="79" spans="2:24" s="74" customFormat="1" x14ac:dyDescent="0.8">
      <c r="D79" s="123"/>
      <c r="E79" s="123"/>
      <c r="J79" s="123"/>
      <c r="K79" s="123"/>
      <c r="L79" s="123"/>
      <c r="M79" s="172"/>
      <c r="Q79" s="79"/>
      <c r="R79" s="79"/>
      <c r="S79" s="83"/>
      <c r="T79" s="83"/>
      <c r="U79" s="83"/>
      <c r="V79" s="79"/>
      <c r="W79" s="79"/>
      <c r="X79" s="79"/>
    </row>
    <row r="80" spans="2:24" s="74" customFormat="1" x14ac:dyDescent="0.8">
      <c r="D80" s="123"/>
      <c r="E80" s="123"/>
      <c r="J80" s="123"/>
      <c r="K80" s="123"/>
      <c r="L80" s="123"/>
      <c r="M80" s="172"/>
      <c r="Q80" s="79"/>
      <c r="R80" s="79"/>
      <c r="S80" s="83"/>
      <c r="T80" s="83"/>
      <c r="U80" s="83"/>
      <c r="V80" s="79"/>
      <c r="W80" s="79"/>
      <c r="X80" s="79"/>
    </row>
    <row r="81" spans="4:24" s="74" customFormat="1" x14ac:dyDescent="0.8">
      <c r="D81" s="123"/>
      <c r="E81" s="123"/>
      <c r="J81" s="123"/>
      <c r="K81" s="123"/>
      <c r="L81" s="123"/>
      <c r="M81" s="172"/>
      <c r="Q81" s="79"/>
      <c r="R81" s="79"/>
      <c r="S81" s="83"/>
      <c r="T81" s="83"/>
      <c r="U81" s="83"/>
      <c r="V81" s="79"/>
      <c r="W81" s="79"/>
      <c r="X81" s="79"/>
    </row>
    <row r="82" spans="4:24" s="74" customFormat="1" x14ac:dyDescent="0.8">
      <c r="D82" s="123"/>
      <c r="E82" s="123"/>
      <c r="J82" s="123"/>
      <c r="K82" s="123"/>
      <c r="L82" s="123"/>
      <c r="M82" s="172"/>
      <c r="Q82" s="79"/>
      <c r="R82" s="79"/>
      <c r="S82" s="83"/>
      <c r="T82" s="83"/>
      <c r="U82" s="83"/>
      <c r="V82" s="79"/>
      <c r="W82" s="79"/>
      <c r="X82" s="79"/>
    </row>
    <row r="83" spans="4:24" s="74" customFormat="1" x14ac:dyDescent="0.8">
      <c r="D83" s="123"/>
      <c r="E83" s="123"/>
      <c r="J83" s="123"/>
      <c r="K83" s="123"/>
      <c r="L83" s="123"/>
      <c r="M83" s="172"/>
      <c r="Q83" s="79"/>
      <c r="R83" s="79"/>
      <c r="S83" s="83"/>
      <c r="T83" s="83"/>
      <c r="U83" s="83"/>
      <c r="V83" s="79"/>
      <c r="W83" s="79"/>
      <c r="X83" s="79"/>
    </row>
    <row r="84" spans="4:24" s="74" customFormat="1" x14ac:dyDescent="0.8">
      <c r="D84" s="123"/>
      <c r="E84" s="123"/>
      <c r="J84" s="123"/>
      <c r="K84" s="123"/>
      <c r="L84" s="123"/>
      <c r="M84" s="172"/>
      <c r="Q84" s="79"/>
      <c r="R84" s="79"/>
      <c r="S84" s="83"/>
      <c r="T84" s="83"/>
      <c r="U84" s="83"/>
      <c r="V84" s="79"/>
      <c r="W84" s="79"/>
      <c r="X84" s="79"/>
    </row>
    <row r="85" spans="4:24" s="74" customFormat="1" x14ac:dyDescent="0.8">
      <c r="D85" s="123"/>
      <c r="E85" s="123"/>
      <c r="J85" s="123"/>
      <c r="K85" s="123"/>
      <c r="L85" s="123"/>
      <c r="M85" s="172"/>
      <c r="Q85" s="79"/>
      <c r="R85" s="79"/>
      <c r="S85" s="83"/>
      <c r="T85" s="83"/>
      <c r="U85" s="83"/>
      <c r="V85" s="79"/>
      <c r="W85" s="79"/>
      <c r="X85" s="79"/>
    </row>
    <row r="86" spans="4:24" s="74" customFormat="1" x14ac:dyDescent="0.8">
      <c r="D86" s="123"/>
      <c r="E86" s="123"/>
      <c r="J86" s="123"/>
      <c r="K86" s="123"/>
      <c r="L86" s="123"/>
      <c r="M86" s="172"/>
      <c r="Q86" s="79"/>
      <c r="R86" s="79"/>
      <c r="S86" s="83"/>
      <c r="T86" s="83"/>
      <c r="U86" s="83"/>
      <c r="V86" s="79"/>
      <c r="W86" s="79"/>
      <c r="X86" s="79"/>
    </row>
    <row r="87" spans="4:24" s="74" customFormat="1" x14ac:dyDescent="0.8">
      <c r="D87" s="123"/>
      <c r="E87" s="123"/>
      <c r="J87" s="123"/>
      <c r="K87" s="123"/>
      <c r="L87" s="123"/>
      <c r="M87" s="172"/>
      <c r="Q87" s="79"/>
      <c r="R87" s="79"/>
      <c r="S87" s="83"/>
      <c r="T87" s="83"/>
      <c r="U87" s="83"/>
      <c r="V87" s="79"/>
      <c r="W87" s="79"/>
      <c r="X87" s="79"/>
    </row>
    <row r="88" spans="4:24" s="74" customFormat="1" x14ac:dyDescent="0.8">
      <c r="D88" s="123"/>
      <c r="E88" s="123"/>
      <c r="J88" s="123"/>
      <c r="K88" s="123"/>
      <c r="L88" s="123"/>
      <c r="M88" s="172"/>
      <c r="Q88" s="79"/>
      <c r="R88" s="79"/>
      <c r="S88" s="83"/>
      <c r="T88" s="83"/>
      <c r="U88" s="83"/>
      <c r="V88" s="79"/>
      <c r="W88" s="79"/>
      <c r="X88" s="79"/>
    </row>
    <row r="89" spans="4:24" s="74" customFormat="1" x14ac:dyDescent="0.8">
      <c r="D89" s="123"/>
      <c r="E89" s="123"/>
      <c r="J89" s="123"/>
      <c r="K89" s="123"/>
      <c r="L89" s="123"/>
      <c r="M89" s="172"/>
      <c r="Q89" s="79"/>
      <c r="R89" s="79"/>
      <c r="S89" s="83"/>
      <c r="T89" s="83"/>
      <c r="U89" s="83"/>
      <c r="V89" s="79"/>
      <c r="W89" s="79"/>
      <c r="X89" s="79"/>
    </row>
    <row r="90" spans="4:24" s="74" customFormat="1" x14ac:dyDescent="0.8">
      <c r="D90" s="123"/>
      <c r="E90" s="123"/>
      <c r="J90" s="123"/>
      <c r="K90" s="123"/>
      <c r="L90" s="123"/>
      <c r="M90" s="172"/>
      <c r="Q90" s="79"/>
      <c r="R90" s="79"/>
      <c r="S90" s="83"/>
      <c r="T90" s="83"/>
      <c r="U90" s="83"/>
      <c r="V90" s="79"/>
      <c r="W90" s="79"/>
      <c r="X90" s="79"/>
    </row>
    <row r="91" spans="4:24" s="74" customFormat="1" x14ac:dyDescent="0.8">
      <c r="D91" s="123"/>
      <c r="E91" s="123"/>
      <c r="J91" s="123"/>
      <c r="K91" s="123"/>
      <c r="L91" s="123"/>
      <c r="M91" s="172"/>
      <c r="Q91" s="79"/>
      <c r="R91" s="79"/>
      <c r="S91" s="83"/>
      <c r="T91" s="83"/>
      <c r="U91" s="83"/>
      <c r="V91" s="79"/>
      <c r="W91" s="79"/>
      <c r="X91" s="79"/>
    </row>
    <row r="92" spans="4:24" s="74" customFormat="1" x14ac:dyDescent="0.8">
      <c r="D92" s="123"/>
      <c r="E92" s="123"/>
      <c r="J92" s="123"/>
      <c r="K92" s="123"/>
      <c r="L92" s="123"/>
      <c r="M92" s="172"/>
      <c r="Q92" s="79"/>
      <c r="R92" s="79"/>
      <c r="S92" s="83"/>
      <c r="T92" s="83"/>
      <c r="U92" s="83"/>
      <c r="V92" s="79"/>
      <c r="W92" s="79"/>
      <c r="X92" s="79"/>
    </row>
  </sheetData>
  <sheetProtection selectLockedCells="1"/>
  <mergeCells count="133">
    <mergeCell ref="C13:H13"/>
    <mergeCell ref="C14:H14"/>
    <mergeCell ref="C17:H17"/>
    <mergeCell ref="I7:J7"/>
    <mergeCell ref="B1:H1"/>
    <mergeCell ref="I6:J6"/>
    <mergeCell ref="B2:P2"/>
    <mergeCell ref="B4:P4"/>
    <mergeCell ref="M6:N6"/>
    <mergeCell ref="C10:H10"/>
    <mergeCell ref="C11:H11"/>
    <mergeCell ref="C12:H12"/>
    <mergeCell ref="B7:H7"/>
    <mergeCell ref="B8:B9"/>
    <mergeCell ref="C8:H9"/>
    <mergeCell ref="M7:N7"/>
    <mergeCell ref="I8:K8"/>
    <mergeCell ref="P8:P9"/>
    <mergeCell ref="M8:O9"/>
    <mergeCell ref="M10:O10"/>
    <mergeCell ref="M11:O11"/>
    <mergeCell ref="M12:O12"/>
    <mergeCell ref="M13:O13"/>
    <mergeCell ref="M14:O14"/>
    <mergeCell ref="M17:O17"/>
    <mergeCell ref="L8:L9"/>
    <mergeCell ref="I18:J18"/>
    <mergeCell ref="M18:N18"/>
    <mergeCell ref="B18:H18"/>
    <mergeCell ref="P27:P28"/>
    <mergeCell ref="M27:O28"/>
    <mergeCell ref="C22:H22"/>
    <mergeCell ref="C24:H24"/>
    <mergeCell ref="C25:H25"/>
    <mergeCell ref="B26:H26"/>
    <mergeCell ref="B19:B20"/>
    <mergeCell ref="C19:H20"/>
    <mergeCell ref="I19:K19"/>
    <mergeCell ref="P19:P20"/>
    <mergeCell ref="C21:H21"/>
    <mergeCell ref="M25:O25"/>
    <mergeCell ref="M24:O24"/>
    <mergeCell ref="M22:O22"/>
    <mergeCell ref="M21:O21"/>
    <mergeCell ref="M19:O20"/>
    <mergeCell ref="L19:L20"/>
    <mergeCell ref="L27:L28"/>
    <mergeCell ref="I26:J26"/>
    <mergeCell ref="M26:N26"/>
    <mergeCell ref="B27:B28"/>
    <mergeCell ref="C27:H28"/>
    <mergeCell ref="I27:K27"/>
    <mergeCell ref="C23:H23"/>
    <mergeCell ref="P42:P43"/>
    <mergeCell ref="M42:O43"/>
    <mergeCell ref="B41:H41"/>
    <mergeCell ref="M41:N41"/>
    <mergeCell ref="M37:O37"/>
    <mergeCell ref="B34:H34"/>
    <mergeCell ref="C29:H29"/>
    <mergeCell ref="C30:H30"/>
    <mergeCell ref="C31:H31"/>
    <mergeCell ref="C32:H32"/>
    <mergeCell ref="C33:H33"/>
    <mergeCell ref="M29:O29"/>
    <mergeCell ref="M30:O30"/>
    <mergeCell ref="M31:O31"/>
    <mergeCell ref="M32:O32"/>
    <mergeCell ref="M33:O33"/>
    <mergeCell ref="M34:N34"/>
    <mergeCell ref="L35:L36"/>
    <mergeCell ref="L42:L43"/>
    <mergeCell ref="B35:B36"/>
    <mergeCell ref="C35:H36"/>
    <mergeCell ref="I35:K35"/>
    <mergeCell ref="P35:P36"/>
    <mergeCell ref="M35:O36"/>
    <mergeCell ref="P58:P59"/>
    <mergeCell ref="C44:H44"/>
    <mergeCell ref="C48:H48"/>
    <mergeCell ref="B49:H49"/>
    <mergeCell ref="M49:N49"/>
    <mergeCell ref="M44:O44"/>
    <mergeCell ref="B42:B43"/>
    <mergeCell ref="C42:H43"/>
    <mergeCell ref="I42:K42"/>
    <mergeCell ref="M58:O59"/>
    <mergeCell ref="B50:B51"/>
    <mergeCell ref="B57:H57"/>
    <mergeCell ref="M57:N57"/>
    <mergeCell ref="M50:O51"/>
    <mergeCell ref="B58:B59"/>
    <mergeCell ref="L58:L59"/>
    <mergeCell ref="M48:O48"/>
    <mergeCell ref="M56:O56"/>
    <mergeCell ref="C52:H52"/>
    <mergeCell ref="C45:H45"/>
    <mergeCell ref="C46:H46"/>
    <mergeCell ref="C47:H47"/>
    <mergeCell ref="P50:P51"/>
    <mergeCell ref="I50:K50"/>
    <mergeCell ref="C50:H51"/>
    <mergeCell ref="M62:O62"/>
    <mergeCell ref="M61:O61"/>
    <mergeCell ref="M60:O60"/>
    <mergeCell ref="C54:H54"/>
    <mergeCell ref="M52:O52"/>
    <mergeCell ref="M53:O53"/>
    <mergeCell ref="L50:L51"/>
    <mergeCell ref="C15:H15"/>
    <mergeCell ref="C16:H16"/>
    <mergeCell ref="M63:O63"/>
    <mergeCell ref="M64:O64"/>
    <mergeCell ref="C65:H65"/>
    <mergeCell ref="M65:O65"/>
    <mergeCell ref="C64:H64"/>
    <mergeCell ref="I34:J34"/>
    <mergeCell ref="I41:J41"/>
    <mergeCell ref="I49:J49"/>
    <mergeCell ref="I57:J57"/>
    <mergeCell ref="C37:H37"/>
    <mergeCell ref="C63:H63"/>
    <mergeCell ref="C60:H60"/>
    <mergeCell ref="C61:H61"/>
    <mergeCell ref="C62:H62"/>
    <mergeCell ref="C38:H38"/>
    <mergeCell ref="C39:H39"/>
    <mergeCell ref="C40:H40"/>
    <mergeCell ref="C55:H55"/>
    <mergeCell ref="C58:H59"/>
    <mergeCell ref="I58:K58"/>
    <mergeCell ref="C53:H53"/>
    <mergeCell ref="C56:H56"/>
  </mergeCells>
  <conditionalFormatting sqref="K6">
    <cfRule type="cellIs" dxfId="7" priority="6" operator="greaterThan">
      <formula>0</formula>
    </cfRule>
  </conditionalFormatting>
  <conditionalFormatting sqref="K7 K18 K26 K34 K41 K49 K57">
    <cfRule type="cellIs" dxfId="6" priority="5" operator="greaterThan">
      <formula>0</formula>
    </cfRule>
  </conditionalFormatting>
  <dataValidations count="1">
    <dataValidation type="list" allowBlank="1" showInputMessage="1" showErrorMessage="1" sqref="M29:O33 M10:O17 M37:O40 M44:O48 M21:O25 M52:O56 M60:O65" xr:uid="{00000000-0002-0000-0600-000000000000}">
      <formula1>$F$82:$F$84</formula1>
    </dataValidation>
  </dataValidations>
  <pageMargins left="0.47" right="0.28999999999999998" top="0.52" bottom="0.34" header="0.3" footer="0.3"/>
  <pageSetup scale="73" fitToHeight="0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0" id="{13616CC7-0E3D-40D8-8E2C-66AA45C22003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NoIcons" iconId="0"/>
              <x14:cfIcon iconSet="3Symbols2" iconId="1"/>
              <x14:cfIcon iconSet="3Symbols2" iconId="2"/>
            </x14:iconSet>
          </x14:cfRule>
          <xm:sqref>I52:K56 I44:K48 I37:K40 I29:K33 I21:K25 I10:K17 I60:K65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Menu</vt:lpstr>
      <vt:lpstr>DataSet</vt:lpstr>
      <vt:lpstr>PO1</vt:lpstr>
      <vt:lpstr>PO2</vt:lpstr>
      <vt:lpstr>PO3</vt:lpstr>
      <vt:lpstr>PO4</vt:lpstr>
      <vt:lpstr>PO5</vt:lpstr>
      <vt:lpstr>4-งานตามภารกิจของคณะ</vt:lpstr>
      <vt:lpstr>5-พฤติกรรมการปฏิบัติงาน</vt:lpstr>
      <vt:lpstr>6-Report</vt:lpstr>
      <vt:lpstr>'4-งานตามภารกิจของคณะ'!Print_Area</vt:lpstr>
      <vt:lpstr>'5-พฤติกรรมการปฏิบัติงาน'!Print_Area</vt:lpstr>
      <vt:lpstr>'6-Report'!Print_Area</vt:lpstr>
      <vt:lpstr>DataSet!Print_Area</vt:lpstr>
      <vt:lpstr>'PO1'!Print_Area</vt:lpstr>
      <vt:lpstr>'PO2'!Print_Area</vt:lpstr>
      <vt:lpstr>'PO3'!Print_Area</vt:lpstr>
      <vt:lpstr>'PO4'!Print_Area</vt:lpstr>
      <vt:lpstr>'PO5'!Print_Area</vt:lpstr>
      <vt:lpstr>รอบการประเมิน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บรรพต</dc:creator>
  <cp:keywords>บรรพต พิจิตรกำเนิด, บรรณารักษ์, มหาวิทยาลัยสวนดุสิต, Template, ระบบประเมินบุคลากร, ประเมินผลการปฏิบัติงาน</cp:keywords>
  <cp:lastModifiedBy>Bunpod Pijitkamnerd</cp:lastModifiedBy>
  <cp:lastPrinted>2026-01-19T14:53:04Z</cp:lastPrinted>
  <dcterms:created xsi:type="dcterms:W3CDTF">2017-05-04T15:54:19Z</dcterms:created>
  <dcterms:modified xsi:type="dcterms:W3CDTF">2026-05-23T14:29:14Z</dcterms:modified>
</cp:coreProperties>
</file>